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seimage\Desktop\Meeting Recording\"/>
    </mc:Choice>
  </mc:AlternateContent>
  <bookViews>
    <workbookView xWindow="0" yWindow="0" windowWidth="28800" windowHeight="12435" activeTab="2"/>
  </bookViews>
  <sheets>
    <sheet name="Unit Prices" sheetId="2" r:id="rId1"/>
    <sheet name="Calc Sheet" sheetId="1" r:id="rId2"/>
    <sheet name="Form E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J242" i="1" l="1"/>
  <c r="D78" i="3" s="1"/>
  <c r="E78" i="3" s="1"/>
  <c r="F54" i="1"/>
  <c r="E63" i="3"/>
  <c r="F46" i="1"/>
  <c r="D76" i="3"/>
  <c r="E76" i="3" s="1"/>
  <c r="D75" i="3"/>
  <c r="E75" i="3" s="1"/>
  <c r="D74" i="3"/>
  <c r="E74" i="3" s="1"/>
  <c r="D73" i="3"/>
  <c r="E73" i="3" s="1"/>
  <c r="D72" i="3"/>
  <c r="E72" i="3" s="1"/>
  <c r="D70" i="3"/>
  <c r="E70" i="3" s="1"/>
  <c r="D68" i="3"/>
  <c r="E68" i="3" s="1"/>
  <c r="D67" i="3"/>
  <c r="E67" i="3" s="1"/>
  <c r="D66" i="3"/>
  <c r="E66" i="3" s="1"/>
  <c r="D64" i="3"/>
  <c r="E64" i="3" s="1"/>
  <c r="D62" i="3"/>
  <c r="E62" i="3" s="1"/>
  <c r="D60" i="3"/>
  <c r="E60" i="3" s="1"/>
  <c r="D59" i="3"/>
  <c r="E59" i="3" s="1"/>
  <c r="D58" i="3"/>
  <c r="E58" i="3" s="1"/>
  <c r="D53" i="3"/>
  <c r="E53" i="3" s="1"/>
  <c r="D47" i="3"/>
  <c r="E47" i="3" s="1"/>
  <c r="D39" i="3"/>
  <c r="E39" i="3" s="1"/>
  <c r="D38" i="3"/>
  <c r="E38" i="3" s="1"/>
  <c r="D37" i="3"/>
  <c r="E37" i="3" s="1"/>
  <c r="D20" i="3"/>
  <c r="E20" i="3" s="1"/>
  <c r="D13" i="3"/>
  <c r="E13" i="3" s="1"/>
  <c r="D12" i="3"/>
  <c r="E12" i="3" s="1"/>
  <c r="D11" i="3"/>
  <c r="E11" i="3"/>
  <c r="F9" i="1"/>
  <c r="D34" i="3" l="1"/>
  <c r="E34" i="3" s="1"/>
  <c r="J247" i="1"/>
  <c r="F246" i="1"/>
  <c r="F241" i="1"/>
  <c r="F238" i="1"/>
  <c r="J238" i="1" s="1"/>
  <c r="D77" i="3" s="1"/>
  <c r="E77" i="3" s="1"/>
  <c r="I231" i="1"/>
  <c r="H233" i="1"/>
  <c r="H232" i="1"/>
  <c r="H231" i="1"/>
  <c r="F233" i="1"/>
  <c r="F232" i="1"/>
  <c r="F231" i="1"/>
  <c r="J227" i="1"/>
  <c r="F227" i="1"/>
  <c r="J222" i="1"/>
  <c r="H222" i="1"/>
  <c r="F222" i="1"/>
  <c r="J217" i="1"/>
  <c r="J209" i="1"/>
  <c r="H211" i="1"/>
  <c r="H210" i="1"/>
  <c r="H209" i="1"/>
  <c r="F211" i="1"/>
  <c r="F210" i="1"/>
  <c r="F209" i="1"/>
  <c r="H202" i="1"/>
  <c r="F203" i="1"/>
  <c r="H203" i="1" s="1"/>
  <c r="F202" i="1"/>
  <c r="F201" i="1"/>
  <c r="H201" i="1" s="1"/>
  <c r="J196" i="1"/>
  <c r="F196" i="1"/>
  <c r="J190" i="1"/>
  <c r="H190" i="1"/>
  <c r="F190" i="1"/>
  <c r="J186" i="1"/>
  <c r="H186" i="1"/>
  <c r="F186" i="1"/>
  <c r="J182" i="1"/>
  <c r="F182" i="1"/>
  <c r="J175" i="1"/>
  <c r="F176" i="1"/>
  <c r="F175" i="1"/>
  <c r="J170" i="1"/>
  <c r="F170" i="1"/>
  <c r="F163" i="1"/>
  <c r="L162" i="1" s="1"/>
  <c r="F162" i="1"/>
  <c r="J162" i="1" s="1"/>
  <c r="J154" i="1"/>
  <c r="F155" i="1"/>
  <c r="F154" i="1"/>
  <c r="J149" i="1"/>
  <c r="F149" i="1"/>
  <c r="L141" i="1"/>
  <c r="J141" i="1"/>
  <c r="G142" i="1"/>
  <c r="G141" i="1"/>
  <c r="F142" i="1"/>
  <c r="F141" i="1"/>
  <c r="L132" i="1"/>
  <c r="L131" i="1"/>
  <c r="J132" i="1"/>
  <c r="J131" i="1"/>
  <c r="F135" i="1"/>
  <c r="F134" i="1"/>
  <c r="H132" i="1" s="1"/>
  <c r="F132" i="1"/>
  <c r="F131" i="1"/>
  <c r="F125" i="1"/>
  <c r="L120" i="1" s="1"/>
  <c r="F124" i="1"/>
  <c r="J120" i="1" s="1"/>
  <c r="H121" i="1"/>
  <c r="H120" i="1"/>
  <c r="F122" i="1"/>
  <c r="H122" i="1" s="1"/>
  <c r="F121" i="1"/>
  <c r="F120" i="1"/>
  <c r="F119" i="1"/>
  <c r="H119" i="1" s="1"/>
  <c r="K113" i="1"/>
  <c r="F113" i="1"/>
  <c r="L103" i="1"/>
  <c r="J103" i="1"/>
  <c r="H105" i="1"/>
  <c r="H104" i="1"/>
  <c r="H103" i="1"/>
  <c r="H102" i="1"/>
  <c r="F108" i="1"/>
  <c r="F107" i="1"/>
  <c r="F105" i="1"/>
  <c r="F104" i="1"/>
  <c r="F103" i="1"/>
  <c r="F102" i="1"/>
  <c r="L91" i="1"/>
  <c r="J93" i="1"/>
  <c r="J92" i="1"/>
  <c r="J91" i="1"/>
  <c r="H93" i="1"/>
  <c r="H92" i="1"/>
  <c r="H91" i="1"/>
  <c r="F96" i="1"/>
  <c r="L93" i="1" s="1"/>
  <c r="F95" i="1"/>
  <c r="F93" i="1"/>
  <c r="F92" i="1"/>
  <c r="F91" i="1"/>
  <c r="F85" i="1"/>
  <c r="L82" i="1" s="1"/>
  <c r="F84" i="1"/>
  <c r="J82" i="1" s="1"/>
  <c r="H82" i="1"/>
  <c r="H81" i="1"/>
  <c r="H80" i="1"/>
  <c r="H79" i="1"/>
  <c r="H78" i="1"/>
  <c r="F82" i="1"/>
  <c r="F81" i="1"/>
  <c r="F80" i="1"/>
  <c r="F79" i="1"/>
  <c r="H131" i="1" l="1"/>
  <c r="L78" i="1"/>
  <c r="L79" i="1"/>
  <c r="L92" i="1"/>
  <c r="L80" i="1"/>
  <c r="L81" i="1"/>
  <c r="J78" i="1"/>
  <c r="N78" i="1" s="1"/>
  <c r="D42" i="3" s="1"/>
  <c r="E42" i="3" s="1"/>
  <c r="J79" i="1"/>
  <c r="N79" i="1" s="1"/>
  <c r="D43" i="3" s="1"/>
  <c r="E43" i="3" s="1"/>
  <c r="J80" i="1"/>
  <c r="J81" i="1"/>
  <c r="F78" i="1"/>
  <c r="H71" i="1"/>
  <c r="J69" i="1"/>
  <c r="J68" i="1"/>
  <c r="J67" i="1"/>
  <c r="H67" i="1"/>
  <c r="H66" i="1"/>
  <c r="J65" i="1"/>
  <c r="F71" i="1"/>
  <c r="J71" i="1" s="1"/>
  <c r="F70" i="1"/>
  <c r="J70" i="1" s="1"/>
  <c r="F69" i="1"/>
  <c r="F66" i="1"/>
  <c r="F67" i="1"/>
  <c r="F68" i="1"/>
  <c r="F65" i="1"/>
  <c r="L57" i="1"/>
  <c r="J57" i="1"/>
  <c r="L56" i="1"/>
  <c r="J56" i="1"/>
  <c r="L55" i="1"/>
  <c r="F59" i="1"/>
  <c r="J55" i="1"/>
  <c r="H54" i="1"/>
  <c r="D36" i="3" s="1"/>
  <c r="E36" i="3" s="1"/>
  <c r="F56" i="1"/>
  <c r="F57" i="1"/>
  <c r="F55" i="1"/>
  <c r="I49" i="1"/>
  <c r="H49" i="1"/>
  <c r="I41" i="1"/>
  <c r="H41" i="1"/>
  <c r="F41" i="1"/>
  <c r="F38" i="1"/>
  <c r="H38" i="1" s="1"/>
  <c r="I32" i="1"/>
  <c r="H32" i="1"/>
  <c r="F32" i="1"/>
  <c r="J29" i="1"/>
  <c r="K29" i="1"/>
  <c r="L29" i="1"/>
  <c r="M29" i="1"/>
  <c r="N29" i="1"/>
  <c r="N28" i="1"/>
  <c r="M28" i="1"/>
  <c r="L28" i="1"/>
  <c r="K28" i="1"/>
  <c r="J28" i="1"/>
  <c r="I29" i="1"/>
  <c r="F29" i="1"/>
  <c r="F28" i="1"/>
  <c r="H28" i="1" s="1"/>
  <c r="I28" i="1" s="1"/>
  <c r="F21" i="1"/>
  <c r="H21" i="1" s="1"/>
  <c r="I21" i="1" s="1"/>
  <c r="F20" i="1"/>
  <c r="H20" i="1" s="1"/>
  <c r="I20" i="1" s="1"/>
  <c r="F19" i="1"/>
  <c r="H19" i="1" s="1"/>
  <c r="I19" i="1" s="1"/>
  <c r="F11" i="1"/>
  <c r="H11" i="1" s="1"/>
  <c r="F10" i="1"/>
  <c r="H10" i="1" s="1"/>
  <c r="H9" i="1"/>
  <c r="H212" i="1"/>
  <c r="F177" i="1"/>
  <c r="N162" i="1"/>
  <c r="D61" i="3" s="1"/>
  <c r="E61" i="3" s="1"/>
  <c r="F156" i="1"/>
  <c r="N141" i="1"/>
  <c r="N132" i="1"/>
  <c r="D57" i="3" s="1"/>
  <c r="E57" i="3" s="1"/>
  <c r="N131" i="1"/>
  <c r="D56" i="3" s="1"/>
  <c r="E56" i="3" s="1"/>
  <c r="N122" i="1"/>
  <c r="N121" i="1"/>
  <c r="N120" i="1"/>
  <c r="N119" i="1"/>
  <c r="N105" i="1"/>
  <c r="N104" i="1"/>
  <c r="N102" i="1"/>
  <c r="N92" i="1"/>
  <c r="D50" i="3" s="1"/>
  <c r="E50" i="3" s="1"/>
  <c r="N56" i="1"/>
  <c r="N55" i="1"/>
  <c r="F49" i="1"/>
  <c r="H46" i="1"/>
  <c r="N80" i="1" l="1"/>
  <c r="D44" i="3" s="1"/>
  <c r="E44" i="3" s="1"/>
  <c r="H70" i="1"/>
  <c r="H72" i="1" s="1"/>
  <c r="N38" i="1"/>
  <c r="D27" i="3" s="1"/>
  <c r="E27" i="3" s="1"/>
  <c r="M38" i="1"/>
  <c r="D26" i="3" s="1"/>
  <c r="E26" i="3" s="1"/>
  <c r="G38" i="1"/>
  <c r="I46" i="1"/>
  <c r="D29" i="3" s="1"/>
  <c r="E29" i="3" s="1"/>
  <c r="M46" i="1"/>
  <c r="D33" i="3" s="1"/>
  <c r="E33" i="3" s="1"/>
  <c r="L46" i="1"/>
  <c r="D32" i="3" s="1"/>
  <c r="E32" i="3" s="1"/>
  <c r="K46" i="1"/>
  <c r="D31" i="3" s="1"/>
  <c r="E31" i="3" s="1"/>
  <c r="J46" i="1"/>
  <c r="D30" i="3" s="1"/>
  <c r="E30" i="3" s="1"/>
  <c r="L10" i="1"/>
  <c r="K10" i="1"/>
  <c r="J10" i="1"/>
  <c r="L11" i="1"/>
  <c r="K11" i="1"/>
  <c r="J11" i="1"/>
  <c r="J9" i="1"/>
  <c r="J12" i="1" s="1"/>
  <c r="E7" i="3" s="1"/>
  <c r="L9" i="1"/>
  <c r="L12" i="1" s="1"/>
  <c r="D9" i="3" s="1"/>
  <c r="E9" i="3" s="1"/>
  <c r="K9" i="1"/>
  <c r="L19" i="1"/>
  <c r="K19" i="1"/>
  <c r="J19" i="1"/>
  <c r="K20" i="1"/>
  <c r="J20" i="1"/>
  <c r="L20" i="1"/>
  <c r="J21" i="1"/>
  <c r="K21" i="1"/>
  <c r="L21" i="1"/>
  <c r="J72" i="1"/>
  <c r="N81" i="1"/>
  <c r="D45" i="3" s="1"/>
  <c r="E45" i="3" s="1"/>
  <c r="N91" i="1"/>
  <c r="D49" i="3" s="1"/>
  <c r="E49" i="3" s="1"/>
  <c r="N103" i="1"/>
  <c r="N106" i="1" s="1"/>
  <c r="D52" i="3" s="1"/>
  <c r="E52" i="3" s="1"/>
  <c r="H204" i="1"/>
  <c r="J201" i="1" s="1"/>
  <c r="D71" i="3" s="1"/>
  <c r="E71" i="3" s="1"/>
  <c r="H234" i="1"/>
  <c r="N57" i="1"/>
  <c r="N82" i="1"/>
  <c r="D46" i="3" s="1"/>
  <c r="E46" i="3" s="1"/>
  <c r="N93" i="1"/>
  <c r="D51" i="3" s="1"/>
  <c r="E51" i="3" s="1"/>
  <c r="N123" i="1"/>
  <c r="D54" i="3" s="1"/>
  <c r="E54" i="3" s="1"/>
  <c r="L72" i="1" l="1"/>
  <c r="D40" i="3" s="1"/>
  <c r="E40" i="3" s="1"/>
  <c r="K38" i="1"/>
  <c r="D24" i="3" s="1"/>
  <c r="E24" i="3" s="1"/>
  <c r="J38" i="1"/>
  <c r="D23" i="3" s="1"/>
  <c r="E23" i="3" s="1"/>
  <c r="I38" i="1"/>
  <c r="D22" i="3" s="1"/>
  <c r="E22" i="3" s="1"/>
  <c r="L38" i="1"/>
  <c r="D25" i="3" s="1"/>
  <c r="E25" i="3" s="1"/>
  <c r="K12" i="1"/>
  <c r="D8" i="3" s="1"/>
  <c r="E8" i="3" s="1"/>
  <c r="K22" i="1" l="1"/>
  <c r="J22" i="1"/>
  <c r="L22" i="1"/>
  <c r="M30" i="1"/>
  <c r="D18" i="3" s="1"/>
  <c r="E18" i="3" s="1"/>
  <c r="L30" i="1"/>
  <c r="D17" i="3" s="1"/>
  <c r="E17" i="3" s="1"/>
  <c r="N30" i="1"/>
  <c r="D19" i="3" s="1"/>
  <c r="E19" i="3" s="1"/>
  <c r="J30" i="1"/>
  <c r="D15" i="3" s="1"/>
  <c r="E15" i="3" s="1"/>
  <c r="E79" i="3" s="1"/>
  <c r="E80" i="3" s="1"/>
  <c r="E81" i="3" s="1"/>
  <c r="K30" i="1"/>
  <c r="D16" i="3" s="1"/>
  <c r="E16" i="3" s="1"/>
</calcChain>
</file>

<file path=xl/sharedStrings.xml><?xml version="1.0" encoding="utf-8"?>
<sst xmlns="http://schemas.openxmlformats.org/spreadsheetml/2006/main" count="661" uniqueCount="315">
  <si>
    <t xml:space="preserve">MassDOT Weighted Bid Prices </t>
  </si>
  <si>
    <t>CALCULATION</t>
  </si>
  <si>
    <t>Item #</t>
  </si>
  <si>
    <t xml:space="preserve">Description </t>
  </si>
  <si>
    <t>Unit</t>
  </si>
  <si>
    <t>Median ($)</t>
  </si>
  <si>
    <t>1. CLEAR AND GRUB</t>
  </si>
  <si>
    <t xml:space="preserve">$/LF </t>
  </si>
  <si>
    <t>40' ROW</t>
  </si>
  <si>
    <t>50' ROW</t>
  </si>
  <si>
    <t>60' ROW</t>
  </si>
  <si>
    <t>Clearing and Grubbing</t>
  </si>
  <si>
    <t>A</t>
  </si>
  <si>
    <t xml:space="preserve">Tree Removed </t>
  </si>
  <si>
    <t>EA</t>
  </si>
  <si>
    <t>Stump Removal</t>
  </si>
  <si>
    <t>(1) The calculation assumes an average of 10 trees and 10 stumps in an acre.</t>
  </si>
  <si>
    <t>2. CONSTRUCT TO SUB-GRADE</t>
  </si>
  <si>
    <t>16" Deep</t>
  </si>
  <si>
    <t>$/CF</t>
  </si>
  <si>
    <t>Earth Excavation</t>
  </si>
  <si>
    <t>CY</t>
  </si>
  <si>
    <t>Unclassified Excavation</t>
  </si>
  <si>
    <t>Class A Rock Excavation</t>
  </si>
  <si>
    <t xml:space="preserve">(1) The calculation assumes removal of 16" (12" replacement gravel and 4" HMA). </t>
  </si>
  <si>
    <t>3. 12" GRAVEL BASE</t>
  </si>
  <si>
    <t>12" Thick</t>
  </si>
  <si>
    <t>$/SF</t>
  </si>
  <si>
    <t>18' Road</t>
  </si>
  <si>
    <t>20' Road</t>
  </si>
  <si>
    <t>24' Road</t>
  </si>
  <si>
    <t>30' Road</t>
  </si>
  <si>
    <t>36' Road</t>
  </si>
  <si>
    <t>Gravel Borrow - Type C</t>
  </si>
  <si>
    <t>Fine Grading and Compaction</t>
  </si>
  <si>
    <t>SY</t>
  </si>
  <si>
    <t>Soil Compaction Test</t>
  </si>
  <si>
    <t>Hr</t>
  </si>
  <si>
    <t xml:space="preserve">(1) The calculation is for 12" of gravel. </t>
  </si>
  <si>
    <t xml:space="preserve">(2) The calculation is for 500' of testing in 6 Hours. </t>
  </si>
  <si>
    <t>2 1/2"</t>
  </si>
  <si>
    <t>3 1/2"</t>
  </si>
  <si>
    <t>$/SF*</t>
  </si>
  <si>
    <t>30' Road*</t>
  </si>
  <si>
    <t>36' Road*</t>
  </si>
  <si>
    <t xml:space="preserve">Hot Mix Asphalt (HMA) </t>
  </si>
  <si>
    <t>TON</t>
  </si>
  <si>
    <t>Asphalt Compaction Test</t>
  </si>
  <si>
    <t>4b. BITMINOUS CONCRETE SURFACE COURSE (1 1/2" DEPTH)</t>
  </si>
  <si>
    <t>1 1/2"</t>
  </si>
  <si>
    <t xml:space="preserve">Hot Mix Asphalt </t>
  </si>
  <si>
    <t>$/SF(1)</t>
  </si>
  <si>
    <t>$/SF (1)</t>
  </si>
  <si>
    <t xml:space="preserve">$/LF (1) </t>
  </si>
  <si>
    <t xml:space="preserve">$/LF (2) </t>
  </si>
  <si>
    <t xml:space="preserve">$/LF  </t>
  </si>
  <si>
    <t>4a. BITMINOUS CONCRETE BASE COURSE (2 1/2" AND 3 1/2" DEPTH)</t>
  </si>
  <si>
    <t>5. CURBING</t>
  </si>
  <si>
    <t xml:space="preserve">Cape Cod Berm </t>
  </si>
  <si>
    <t>HMA Berm, Type A Modified</t>
  </si>
  <si>
    <t>FT</t>
  </si>
  <si>
    <t>Granite Curb   +</t>
  </si>
  <si>
    <t>Additional Concrete</t>
  </si>
  <si>
    <t>= Price</t>
  </si>
  <si>
    <t>Granite Curb Type VA3 - Staright</t>
  </si>
  <si>
    <t>Granite Curb Type VA3 - Curved</t>
  </si>
  <si>
    <t>Granite Curb Edging (Sloped)-Straight</t>
  </si>
  <si>
    <t>4000 psi, 3/4 In, 610 Cement Concrete</t>
  </si>
  <si>
    <t>6. MANHOLES &amp; CATCH BASINS</t>
  </si>
  <si>
    <t xml:space="preserve">$ FOR EACH INSTALLATION </t>
  </si>
  <si>
    <t>Manhole(1)</t>
  </si>
  <si>
    <t>CATCH BASIN(1)</t>
  </si>
  <si>
    <t>Average Price</t>
  </si>
  <si>
    <t>Catch Basin - Municipal Standard</t>
  </si>
  <si>
    <t>Manhole - Municipal Standard</t>
  </si>
  <si>
    <t>Frame and Grate (Cover) Municipal</t>
  </si>
  <si>
    <t>Trap &amp; Hood Municipal Standards</t>
  </si>
  <si>
    <t>Granite Curb Inlet - Straight Muni Std.</t>
  </si>
  <si>
    <t>Class B Trench Excavation</t>
  </si>
  <si>
    <t>90%</t>
  </si>
  <si>
    <t>Class B Rock Excavation</t>
  </si>
  <si>
    <t>10%</t>
  </si>
  <si>
    <t>(1) The excavation is an average of 10' w x 10' L x 10' D.</t>
  </si>
  <si>
    <t>7. DRAIN PIPE</t>
  </si>
  <si>
    <t>Pipe Cost</t>
  </si>
  <si>
    <t>Trench Excavation(1)+</t>
  </si>
  <si>
    <t>Rock Excavation(1)</t>
  </si>
  <si>
    <t>6-Inch Slot Perf. Plastic (Subdrain)</t>
  </si>
  <si>
    <t>12-Inch RCP</t>
  </si>
  <si>
    <t>18-Inch RCP</t>
  </si>
  <si>
    <t>24-Inch RCP</t>
  </si>
  <si>
    <t>36-Inch RCP</t>
  </si>
  <si>
    <t>(1) Trench dimensions vary based on pipe diameter (Width =D+3 by Depth= D+3).</t>
  </si>
  <si>
    <t>8. WATER PIPE</t>
  </si>
  <si>
    <t>Pipe Cost +</t>
  </si>
  <si>
    <t>6-Inch Ductile Iron Water Pipe</t>
  </si>
  <si>
    <t>8-Inch Ductile Iron Water Pipe</t>
  </si>
  <si>
    <t>12-Inch Ductile Iron Water Pipe</t>
  </si>
  <si>
    <t>(1) The trench dimensions vary to provide a 5'-0" depth of cover over the pipes.</t>
  </si>
  <si>
    <t>9. HYDRANT ASSEMBLY (COMPLETE)</t>
  </si>
  <si>
    <t xml:space="preserve">$/EA </t>
  </si>
  <si>
    <t>Material Cost +</t>
  </si>
  <si>
    <t>Hydrant</t>
  </si>
  <si>
    <t>6-Inch Ductile Iron Water Pipe(2)</t>
  </si>
  <si>
    <t>Ductile Iron Fittings for Water Pipe</t>
  </si>
  <si>
    <t>LB</t>
  </si>
  <si>
    <t>6 Inch Gate Valve and Gate Box</t>
  </si>
  <si>
    <t>Total Cost for one Complete Hydrant Assembly</t>
  </si>
  <si>
    <t>(1) The trench dimensions are to provide a 5'-0" depth of cover over the pipe.</t>
  </si>
  <si>
    <t>(2) The calculations are based on average hydrant branch length of 25 feet.</t>
  </si>
  <si>
    <t>10. Gate Valves</t>
  </si>
  <si>
    <t>$/EA</t>
  </si>
  <si>
    <t>Gate Valve and Gate Box</t>
  </si>
  <si>
    <t>11. SERVICE CONNECTION</t>
  </si>
  <si>
    <t>Trench Excavation(1&amp;2)+</t>
  </si>
  <si>
    <t>Rock Excavation(1&amp;2)</t>
  </si>
  <si>
    <t>1-Inch Corporation Cock</t>
  </si>
  <si>
    <t>1-Inch Plastic Water Pipe(2)</t>
  </si>
  <si>
    <t>Curb Stop</t>
  </si>
  <si>
    <t>Service Box (Municipal Standard)</t>
  </si>
  <si>
    <t>Total Cost for one Complete Service</t>
  </si>
  <si>
    <t>(1) The trench dimensions are to provide a 5'-0" depth of cover over the service line.</t>
  </si>
  <si>
    <t>(2) It assumes average service line length of 25 feet.</t>
  </si>
  <si>
    <t>12. SIDEWALKS</t>
  </si>
  <si>
    <t>$ /LF</t>
  </si>
  <si>
    <t>Gravel +</t>
  </si>
  <si>
    <t>Fine Grading(1)+</t>
  </si>
  <si>
    <t>Top Surface(1)</t>
  </si>
  <si>
    <t>HMA Walk Surface</t>
  </si>
  <si>
    <t>Cement Concrete Sidewalk</t>
  </si>
  <si>
    <t>13. TOP SOIL &amp; SEEDING</t>
  </si>
  <si>
    <t>$ /SY</t>
  </si>
  <si>
    <t>$/SY(1)</t>
  </si>
  <si>
    <t>Loam Borrow(1) +</t>
  </si>
  <si>
    <t>Seeding(1)</t>
  </si>
  <si>
    <t>= Price(1)</t>
  </si>
  <si>
    <t>Loam Borrow</t>
  </si>
  <si>
    <t>Seeding</t>
  </si>
  <si>
    <t>(1) The $/SY unit price is based on a 6 inch thick loam.</t>
  </si>
  <si>
    <t>14. SHADES TREES</t>
  </si>
  <si>
    <t>Maple-Red-Oct Glory,2-2.5" Caliper</t>
  </si>
  <si>
    <t>15. STREET LIGHTS</t>
  </si>
  <si>
    <t>Light Standard Foundation SD3.010</t>
  </si>
  <si>
    <t>Highway Lighting Pole (8 Foot)</t>
  </si>
  <si>
    <t>16. UNDEGROUND WIRING (TRENCH ONLY)</t>
  </si>
  <si>
    <t>Conduit Cost +</t>
  </si>
  <si>
    <t>(1) The trench dimensions are 2.0 feet wide by 2.5 feet deep.</t>
  </si>
  <si>
    <t>17. SURVEY BOUNDS</t>
  </si>
  <si>
    <t>Bound - Plain Granite</t>
  </si>
  <si>
    <t>18. STREET SIGNS</t>
  </si>
  <si>
    <t>Street Name Sign</t>
  </si>
  <si>
    <t xml:space="preserve"> Sign Posts 2 1/2" Steel</t>
  </si>
  <si>
    <t>19. SOIL EROSION &amp; SEDIMENT CONTROL</t>
  </si>
  <si>
    <t>SILT FENCES</t>
  </si>
  <si>
    <t>$/lf</t>
  </si>
  <si>
    <t>Sedimentation Fence</t>
  </si>
  <si>
    <t>HAYBALES</t>
  </si>
  <si>
    <t>$/LF (1)</t>
  </si>
  <si>
    <t xml:space="preserve">Bales of Hayes for Erosion Control </t>
  </si>
  <si>
    <t>(1) Each Bay of Hay is 3 feet long.</t>
  </si>
  <si>
    <t>CHECK DAMS</t>
  </si>
  <si>
    <t>$/EA(1)</t>
  </si>
  <si>
    <t>Riprap</t>
  </si>
  <si>
    <t>(1) Assumes average check dam dimension of 20' L x 3' W x 3' D.</t>
  </si>
  <si>
    <t/>
  </si>
  <si>
    <t>20. SITE IMPROVEMENT ITEMS</t>
  </si>
  <si>
    <t>HEADWALL</t>
  </si>
  <si>
    <t>$/EA (1)</t>
  </si>
  <si>
    <t>4000 PSI, 3/4 inch, Cement Concrete</t>
  </si>
  <si>
    <t>(1) The headwall dimensions are 8' L x 7' D x 2' Average thickness.</t>
  </si>
  <si>
    <t>CULVERT</t>
  </si>
  <si>
    <t>48-Inch Reinforced Conc. (Culvert)</t>
  </si>
  <si>
    <t>(1) The trench dimension is 8' W x 8'D.</t>
  </si>
  <si>
    <t>GUARD RAIL</t>
  </si>
  <si>
    <t>Guardrail Post - Wood</t>
  </si>
  <si>
    <t>Guardrail Offset Block - Wood</t>
  </si>
  <si>
    <t>Steel W. Beam Highway Guard</t>
  </si>
  <si>
    <t>(1) There will be a wood post and offset block every 6'.</t>
  </si>
  <si>
    <t>RIP RAP</t>
  </si>
  <si>
    <t>$/sy</t>
  </si>
  <si>
    <t>Stone for Pipe Ends</t>
  </si>
  <si>
    <t>RETAINING WALL</t>
  </si>
  <si>
    <t>Stone Masonry Wall in Cement Mortar</t>
  </si>
  <si>
    <t>(1) The calculations assume 8 feet high by 2.75 feet avergae height wall.</t>
  </si>
  <si>
    <t>FLARED END</t>
  </si>
  <si>
    <t>12-Inch Reinforced Concrete Flared End</t>
  </si>
  <si>
    <t>RETENTION / DETENTION BASIN</t>
  </si>
  <si>
    <t>$/SY (1)</t>
  </si>
  <si>
    <t>(1) The calculation assumes a 5 feet deep basin.</t>
  </si>
  <si>
    <t>WETLAND REPLICATION</t>
  </si>
  <si>
    <t>Wetland Replication Area</t>
  </si>
  <si>
    <t>RECORD DRAWINGS</t>
  </si>
  <si>
    <t>Surveyor / AutoCAD Tech for As-Builts</t>
  </si>
  <si>
    <t>(1) The calculation assumes 16 Hours per 500 feet at $120/hr.</t>
  </si>
  <si>
    <t>VIDEO INSPECTION</t>
  </si>
  <si>
    <t>Video Inspection (w Cleaning) Services</t>
  </si>
  <si>
    <t>Day</t>
  </si>
  <si>
    <t>$/ 500 lf</t>
  </si>
  <si>
    <t>(1) The calculation assumes 500 lf for cleaning and TV Inspection, including mobilization and demobilization.</t>
  </si>
  <si>
    <t>Clearing &amp; Grubbing</t>
  </si>
  <si>
    <t>Tree Removed</t>
  </si>
  <si>
    <t>Class B trench Excavation</t>
  </si>
  <si>
    <t>Miscellaneous Soil Testing</t>
  </si>
  <si>
    <t>12-Inch Reinforced Concrete Pipe</t>
  </si>
  <si>
    <t>18-Inch Reinforced Concrete Pipe</t>
  </si>
  <si>
    <t>24-Inch Reinforced Concrete Pipe</t>
  </si>
  <si>
    <t>36-Inch Reinforced Concrete Pipe</t>
  </si>
  <si>
    <t>48-Inch Reinforced Conc. Pipe (Culvert)</t>
  </si>
  <si>
    <t>(1)</t>
  </si>
  <si>
    <t>8 Inch Gate Valve and Gate Box</t>
  </si>
  <si>
    <t>12 Inch Gate Valve and Gate Box</t>
  </si>
  <si>
    <t xml:space="preserve">HMA </t>
  </si>
  <si>
    <t>Granite Curb Type VA3 - Straight</t>
  </si>
  <si>
    <t>Granite Edging Type SA-Straight</t>
  </si>
  <si>
    <t>Topsoil Rehandled &amp; Spread</t>
  </si>
  <si>
    <t>Electric Handholes</t>
  </si>
  <si>
    <t>Surveyor / AutoCAD Tech for As-Built</t>
  </si>
  <si>
    <t>Lab Technician for Compaction Testing</t>
  </si>
  <si>
    <t>Video Inspection Services</t>
  </si>
  <si>
    <t>1. The unit price for 6-inch was adjusted downward to reflect unit price less than 8-inch.</t>
  </si>
  <si>
    <t>MassDOT Weighted Bid Prices (Bids 10/2020 thru 10/2021)</t>
  </si>
  <si>
    <t xml:space="preserve">Subdivision: </t>
  </si>
  <si>
    <t>Construction Deadline:</t>
  </si>
  <si>
    <t>Street Name and Sta. :</t>
  </si>
  <si>
    <t xml:space="preserve">Review Date: </t>
  </si>
  <si>
    <t xml:space="preserve">Developer: </t>
  </si>
  <si>
    <t xml:space="preserve">Project Engineer: </t>
  </si>
  <si>
    <t xml:space="preserve">CONSTRUCTION ITEM </t>
  </si>
  <si>
    <t xml:space="preserve">QUANTITY </t>
  </si>
  <si>
    <t>UNIT</t>
  </si>
  <si>
    <t xml:space="preserve">UNIT COST </t>
  </si>
  <si>
    <t xml:space="preserve">EST. COST </t>
  </si>
  <si>
    <t>1. Clear and Grub</t>
  </si>
  <si>
    <t xml:space="preserve">  </t>
  </si>
  <si>
    <t xml:space="preserve"> </t>
  </si>
  <si>
    <t>40’ ROW</t>
  </si>
  <si>
    <t>lf</t>
  </si>
  <si>
    <t xml:space="preserve">lf  </t>
  </si>
  <si>
    <t>2. Construct to Sub-Grade</t>
  </si>
  <si>
    <t>60'ROW</t>
  </si>
  <si>
    <t>3. 12" Gravel Base</t>
  </si>
  <si>
    <t>18’ Roadway</t>
  </si>
  <si>
    <t>20' Roadway</t>
  </si>
  <si>
    <t>24' Roadway</t>
  </si>
  <si>
    <t>30' Roadway</t>
  </si>
  <si>
    <t>36' Roadway</t>
  </si>
  <si>
    <t>Soil Compaction Tests</t>
  </si>
  <si>
    <t>4a. Bituminous Concrete Base Course</t>
  </si>
  <si>
    <t xml:space="preserve">      </t>
  </si>
  <si>
    <t>2 ½” Depth 18’ Wide</t>
  </si>
  <si>
    <t>2 ½” Depth, 20’ Wide</t>
  </si>
  <si>
    <t>2 ½” Depth, 24' Wide</t>
  </si>
  <si>
    <t>2 ½” Depth, 30’ Wide</t>
  </si>
  <si>
    <t>3 ½” Depth, 30’ Wide</t>
  </si>
  <si>
    <t>3 ½” Depth, 36’ Wide</t>
  </si>
  <si>
    <t>4b. Bituminous Concrete Surface Course</t>
  </si>
  <si>
    <t>1 ½” Depth, 18’ Wide</t>
  </si>
  <si>
    <t>1 ½” Depth, 20’ Wide</t>
  </si>
  <si>
    <t>1 ½” Depth, 24’ Wide</t>
  </si>
  <si>
    <t>1 ½” Depth, 30’ Wide</t>
  </si>
  <si>
    <t>1 ½” Depth, 36’ Wide</t>
  </si>
  <si>
    <t>Asphalt Compaction Tests</t>
  </si>
  <si>
    <t>5. Curbing</t>
  </si>
  <si>
    <t>Cape Cod Berm</t>
  </si>
  <si>
    <t>Granite (straight)</t>
  </si>
  <si>
    <t>Granite (curved)</t>
  </si>
  <si>
    <t xml:space="preserve"> Granite (sloped)</t>
  </si>
  <si>
    <t xml:space="preserve">lf   </t>
  </si>
  <si>
    <t>6. Manholes &amp; Catch Basins</t>
  </si>
  <si>
    <t>ea</t>
  </si>
  <si>
    <t>7. Drain Pipe</t>
  </si>
  <si>
    <t>6" PVC or CMP</t>
  </si>
  <si>
    <t>12" RCP</t>
  </si>
  <si>
    <t>18" RCP</t>
  </si>
  <si>
    <t>24" RCP</t>
  </si>
  <si>
    <t>36" RCP</t>
  </si>
  <si>
    <t xml:space="preserve">Video Inspection/500' (round to nearest 500') </t>
  </si>
  <si>
    <t>500' lf</t>
  </si>
  <si>
    <t>8. Water Pipe</t>
  </si>
  <si>
    <t>6" Diameter</t>
  </si>
  <si>
    <t>8” Diameter</t>
  </si>
  <si>
    <t>12" Diameter</t>
  </si>
  <si>
    <t>9. Hydrants</t>
  </si>
  <si>
    <t>11. Service Connections to Property Line</t>
  </si>
  <si>
    <t>12. Sidewalks</t>
  </si>
  <si>
    <t>Hot Mix Asphalt</t>
  </si>
  <si>
    <t>Cement Concrete</t>
  </si>
  <si>
    <t>13. Top Soil &amp; Seeding</t>
  </si>
  <si>
    <t>sy</t>
  </si>
  <si>
    <t>14. Shade Trees</t>
  </si>
  <si>
    <t>15. Street Lights</t>
  </si>
  <si>
    <t>16. Underground Wiring (trench only)</t>
  </si>
  <si>
    <t>18. Street Sign</t>
  </si>
  <si>
    <t>19. Soil Erosion &amp; Sediment Control</t>
  </si>
  <si>
    <t>Silt Fences</t>
  </si>
  <si>
    <t>Haybales</t>
  </si>
  <si>
    <t xml:space="preserve">           Check Dams</t>
  </si>
  <si>
    <t>20. Site Improvement Items</t>
  </si>
  <si>
    <t>Headwall</t>
  </si>
  <si>
    <t xml:space="preserve">Culvert </t>
  </si>
  <si>
    <t>Guard Rail</t>
  </si>
  <si>
    <t>Rip Rap</t>
  </si>
  <si>
    <t>Retaining Wall</t>
  </si>
  <si>
    <t>Flared End</t>
  </si>
  <si>
    <t>Retention/Detention Basin</t>
  </si>
  <si>
    <t>Wetland Replication</t>
  </si>
  <si>
    <t>As-Built Plans</t>
  </si>
  <si>
    <t xml:space="preserve">Sub-Total </t>
  </si>
  <si>
    <t xml:space="preserve">15% Contingency </t>
  </si>
  <si>
    <t xml:space="preserve">TOTAL GUARANTEE REQUIRED </t>
  </si>
  <si>
    <t>Estimate Prepared By:</t>
  </si>
  <si>
    <t>Signature:</t>
  </si>
  <si>
    <t xml:space="preserve">Date: </t>
  </si>
  <si>
    <t>17a. Survey Bounds</t>
  </si>
  <si>
    <t>17b. Iron Rods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</si>
</sst>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0" fillId="0" borderId="0" xfId="0" quotePrefix="1" applyNumberFormat="1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2" xfId="0" applyFont="1" applyBorder="1"/>
    <xf numFmtId="0" fontId="0" fillId="0" borderId="2" xfId="0" applyBorder="1"/>
    <xf numFmtId="2" fontId="1" fillId="0" borderId="0" xfId="0" applyNumberFormat="1" applyFont="1"/>
    <xf numFmtId="3" fontId="0" fillId="0" borderId="0" xfId="0" applyNumberFormat="1"/>
    <xf numFmtId="0" fontId="0" fillId="0" borderId="1" xfId="0" applyBorder="1"/>
    <xf numFmtId="0" fontId="1" fillId="0" borderId="1" xfId="0" applyFont="1" applyBorder="1"/>
    <xf numFmtId="3" fontId="1" fillId="0" borderId="0" xfId="0" applyNumberFormat="1" applyFont="1"/>
    <xf numFmtId="1" fontId="0" fillId="0" borderId="1" xfId="0" applyNumberFormat="1" applyBorder="1"/>
    <xf numFmtId="3" fontId="0" fillId="0" borderId="1" xfId="0" applyNumberFormat="1" applyBorder="1"/>
    <xf numFmtId="4" fontId="0" fillId="0" borderId="1" xfId="0" applyNumberFormat="1" applyBorder="1"/>
    <xf numFmtId="0" fontId="3" fillId="0" borderId="3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2" borderId="3" xfId="0" applyFont="1" applyFill="1" applyBorder="1"/>
    <xf numFmtId="0" fontId="3" fillId="0" borderId="9" xfId="0" applyFont="1" applyBorder="1"/>
    <xf numFmtId="0" fontId="4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165" fontId="4" fillId="0" borderId="3" xfId="0" applyNumberFormat="1" applyFont="1" applyBorder="1"/>
    <xf numFmtId="0" fontId="4" fillId="0" borderId="3" xfId="0" applyFont="1" applyBorder="1" applyProtection="1"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GENG1/Downloads/form_e_updated_2-5-19_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Prices"/>
      <sheetName val="Calcs"/>
      <sheetName val="Form E"/>
    </sheetNames>
    <sheetDataSet>
      <sheetData sheetId="0">
        <row r="69">
          <cell r="F69">
            <v>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>
      <selection activeCell="F19" sqref="F19"/>
    </sheetView>
  </sheetViews>
  <sheetFormatPr defaultRowHeight="15" x14ac:dyDescent="0.25"/>
  <cols>
    <col min="4" max="4" width="36.5703125" bestFit="1" customWidth="1"/>
    <col min="6" max="6" width="11.5703125" bestFit="1" customWidth="1"/>
  </cols>
  <sheetData>
    <row r="1" spans="1:7" x14ac:dyDescent="0.25">
      <c r="E1" s="1"/>
    </row>
    <row r="2" spans="1:7" x14ac:dyDescent="0.25">
      <c r="E2" s="1"/>
    </row>
    <row r="3" spans="1:7" x14ac:dyDescent="0.25">
      <c r="E3" s="1"/>
    </row>
    <row r="4" spans="1:7" ht="15.75" x14ac:dyDescent="0.25">
      <c r="C4" s="39" t="s">
        <v>220</v>
      </c>
      <c r="D4" s="39"/>
      <c r="E4" s="39"/>
      <c r="F4" s="39"/>
      <c r="G4" s="6"/>
    </row>
    <row r="5" spans="1:7" ht="16.5" thickBot="1" x14ac:dyDescent="0.3">
      <c r="C5" s="5" t="s">
        <v>2</v>
      </c>
      <c r="D5" s="5" t="s">
        <v>3</v>
      </c>
      <c r="E5" s="5" t="s">
        <v>4</v>
      </c>
      <c r="F5" s="5" t="s">
        <v>5</v>
      </c>
      <c r="G5" s="7"/>
    </row>
    <row r="6" spans="1:7" x14ac:dyDescent="0.25">
      <c r="C6">
        <v>101</v>
      </c>
      <c r="D6" t="s">
        <v>199</v>
      </c>
      <c r="E6" s="1" t="s">
        <v>12</v>
      </c>
      <c r="F6" s="2">
        <v>27000</v>
      </c>
      <c r="G6" s="2"/>
    </row>
    <row r="7" spans="1:7" x14ac:dyDescent="0.25">
      <c r="C7">
        <v>103</v>
      </c>
      <c r="D7" t="s">
        <v>200</v>
      </c>
      <c r="E7" s="1" t="s">
        <v>14</v>
      </c>
      <c r="F7" s="2">
        <v>1100</v>
      </c>
      <c r="G7" s="2"/>
    </row>
    <row r="8" spans="1:7" x14ac:dyDescent="0.25">
      <c r="C8">
        <v>105</v>
      </c>
      <c r="D8" t="s">
        <v>15</v>
      </c>
      <c r="E8" s="1" t="s">
        <v>14</v>
      </c>
      <c r="F8" s="2">
        <v>475</v>
      </c>
      <c r="G8" s="2"/>
    </row>
    <row r="9" spans="1:7" x14ac:dyDescent="0.25">
      <c r="C9">
        <v>120</v>
      </c>
      <c r="D9" t="s">
        <v>20</v>
      </c>
      <c r="E9" s="1" t="s">
        <v>21</v>
      </c>
      <c r="F9" s="2">
        <v>30</v>
      </c>
      <c r="G9" s="2"/>
    </row>
    <row r="10" spans="1:7" x14ac:dyDescent="0.25">
      <c r="C10">
        <v>120.1</v>
      </c>
      <c r="D10" t="s">
        <v>22</v>
      </c>
      <c r="E10" s="1" t="s">
        <v>21</v>
      </c>
      <c r="F10" s="2">
        <v>40</v>
      </c>
      <c r="G10" s="2"/>
    </row>
    <row r="11" spans="1:7" x14ac:dyDescent="0.25">
      <c r="C11">
        <v>121</v>
      </c>
      <c r="D11" t="s">
        <v>23</v>
      </c>
      <c r="E11" s="1" t="s">
        <v>21</v>
      </c>
      <c r="F11" s="2">
        <v>100</v>
      </c>
      <c r="G11" s="2"/>
    </row>
    <row r="12" spans="1:7" x14ac:dyDescent="0.25">
      <c r="C12">
        <v>142</v>
      </c>
      <c r="D12" t="s">
        <v>201</v>
      </c>
      <c r="E12" s="1" t="s">
        <v>21</v>
      </c>
      <c r="F12" s="2">
        <v>30</v>
      </c>
      <c r="G12" s="2"/>
    </row>
    <row r="13" spans="1:7" x14ac:dyDescent="0.25">
      <c r="C13">
        <v>144</v>
      </c>
      <c r="D13" t="s">
        <v>80</v>
      </c>
      <c r="E13" s="1" t="s">
        <v>21</v>
      </c>
      <c r="F13" s="2">
        <v>150</v>
      </c>
      <c r="G13" s="2"/>
    </row>
    <row r="14" spans="1:7" x14ac:dyDescent="0.25">
      <c r="C14">
        <v>151.01</v>
      </c>
      <c r="D14" t="s">
        <v>33</v>
      </c>
      <c r="E14" s="1" t="s">
        <v>21</v>
      </c>
      <c r="F14" s="2">
        <v>47.5</v>
      </c>
      <c r="G14" s="2"/>
    </row>
    <row r="15" spans="1:7" x14ac:dyDescent="0.25">
      <c r="C15">
        <v>170</v>
      </c>
      <c r="D15" t="s">
        <v>34</v>
      </c>
      <c r="E15" s="1" t="s">
        <v>35</v>
      </c>
      <c r="F15" s="2">
        <v>5</v>
      </c>
      <c r="G15" s="2"/>
    </row>
    <row r="16" spans="1:7" x14ac:dyDescent="0.25">
      <c r="A16" s="36"/>
      <c r="B16" s="36"/>
      <c r="C16" s="36">
        <v>180.6</v>
      </c>
      <c r="D16" s="36" t="s">
        <v>202</v>
      </c>
      <c r="E16" s="37" t="s">
        <v>14</v>
      </c>
      <c r="F16" s="38">
        <v>100</v>
      </c>
      <c r="G16" s="2"/>
    </row>
    <row r="17" spans="3:7" x14ac:dyDescent="0.25">
      <c r="C17">
        <v>201.5</v>
      </c>
      <c r="D17" t="s">
        <v>73</v>
      </c>
      <c r="E17" s="1" t="s">
        <v>14</v>
      </c>
      <c r="F17" s="2">
        <v>10000</v>
      </c>
      <c r="G17" s="2"/>
    </row>
    <row r="18" spans="3:7" x14ac:dyDescent="0.25">
      <c r="C18">
        <v>202.01</v>
      </c>
      <c r="D18" t="s">
        <v>74</v>
      </c>
      <c r="E18" s="1" t="s">
        <v>14</v>
      </c>
      <c r="F18" s="2">
        <v>6000</v>
      </c>
      <c r="G18" s="2"/>
    </row>
    <row r="19" spans="3:7" x14ac:dyDescent="0.25">
      <c r="C19">
        <v>222.3</v>
      </c>
      <c r="D19" t="s">
        <v>75</v>
      </c>
      <c r="E19" s="1" t="s">
        <v>14</v>
      </c>
      <c r="F19" s="2">
        <v>950</v>
      </c>
      <c r="G19" s="2"/>
    </row>
    <row r="20" spans="3:7" x14ac:dyDescent="0.25">
      <c r="C20">
        <v>225.52</v>
      </c>
      <c r="D20" t="s">
        <v>76</v>
      </c>
      <c r="E20" s="1" t="s">
        <v>14</v>
      </c>
      <c r="F20" s="2">
        <v>600</v>
      </c>
      <c r="G20" s="2"/>
    </row>
    <row r="21" spans="3:7" x14ac:dyDescent="0.25">
      <c r="C21">
        <v>241.12</v>
      </c>
      <c r="D21" t="s">
        <v>203</v>
      </c>
      <c r="E21" s="1" t="s">
        <v>60</v>
      </c>
      <c r="F21" s="2">
        <v>90</v>
      </c>
      <c r="G21" s="2"/>
    </row>
    <row r="22" spans="3:7" x14ac:dyDescent="0.25">
      <c r="C22">
        <v>241.18</v>
      </c>
      <c r="D22" t="s">
        <v>204</v>
      </c>
      <c r="E22" s="1" t="s">
        <v>60</v>
      </c>
      <c r="F22" s="2">
        <v>110</v>
      </c>
      <c r="G22" s="2"/>
    </row>
    <row r="23" spans="3:7" x14ac:dyDescent="0.25">
      <c r="C23">
        <v>241.24</v>
      </c>
      <c r="D23" t="s">
        <v>205</v>
      </c>
      <c r="E23" s="1" t="s">
        <v>60</v>
      </c>
      <c r="F23" s="2">
        <v>160</v>
      </c>
      <c r="G23" s="2"/>
    </row>
    <row r="24" spans="3:7" x14ac:dyDescent="0.25">
      <c r="C24">
        <v>241.36</v>
      </c>
      <c r="D24" t="s">
        <v>206</v>
      </c>
      <c r="E24" s="1" t="s">
        <v>60</v>
      </c>
      <c r="F24" s="2">
        <v>250</v>
      </c>
      <c r="G24" s="2"/>
    </row>
    <row r="25" spans="3:7" x14ac:dyDescent="0.25">
      <c r="C25">
        <v>241.48</v>
      </c>
      <c r="D25" t="s">
        <v>207</v>
      </c>
      <c r="E25" s="1" t="s">
        <v>60</v>
      </c>
      <c r="F25" s="2">
        <v>375</v>
      </c>
      <c r="G25" s="2"/>
    </row>
    <row r="26" spans="3:7" x14ac:dyDescent="0.25">
      <c r="C26">
        <v>242.12</v>
      </c>
      <c r="D26" t="s">
        <v>185</v>
      </c>
      <c r="E26" s="1" t="s">
        <v>14</v>
      </c>
      <c r="F26" s="2">
        <v>1100</v>
      </c>
      <c r="G26" s="2"/>
    </row>
    <row r="27" spans="3:7" x14ac:dyDescent="0.25">
      <c r="C27">
        <v>258</v>
      </c>
      <c r="D27" t="s">
        <v>180</v>
      </c>
      <c r="E27" s="1" t="s">
        <v>35</v>
      </c>
      <c r="F27" s="2">
        <v>75</v>
      </c>
      <c r="G27" s="2"/>
    </row>
    <row r="28" spans="3:7" x14ac:dyDescent="0.25">
      <c r="C28">
        <v>269.06</v>
      </c>
      <c r="D28" t="s">
        <v>87</v>
      </c>
      <c r="E28" s="1" t="s">
        <v>60</v>
      </c>
      <c r="F28" s="2">
        <v>70</v>
      </c>
      <c r="G28" s="2"/>
    </row>
    <row r="29" spans="3:7" x14ac:dyDescent="0.25">
      <c r="C29">
        <v>302.06</v>
      </c>
      <c r="D29" t="s">
        <v>95</v>
      </c>
      <c r="E29" s="1" t="s">
        <v>60</v>
      </c>
      <c r="F29" s="2">
        <v>160</v>
      </c>
      <c r="G29" s="8" t="s">
        <v>208</v>
      </c>
    </row>
    <row r="30" spans="3:7" x14ac:dyDescent="0.25">
      <c r="C30">
        <v>302.08</v>
      </c>
      <c r="D30" t="s">
        <v>96</v>
      </c>
      <c r="E30" s="1" t="s">
        <v>60</v>
      </c>
      <c r="F30" s="2">
        <v>160</v>
      </c>
      <c r="G30" s="2"/>
    </row>
    <row r="31" spans="3:7" x14ac:dyDescent="0.25">
      <c r="C31">
        <v>302.12</v>
      </c>
      <c r="D31" t="s">
        <v>97</v>
      </c>
      <c r="E31" s="1" t="s">
        <v>60</v>
      </c>
      <c r="F31" s="2">
        <v>150</v>
      </c>
      <c r="G31" s="2"/>
    </row>
    <row r="32" spans="3:7" x14ac:dyDescent="0.25">
      <c r="C32">
        <v>309</v>
      </c>
      <c r="D32" t="s">
        <v>104</v>
      </c>
      <c r="E32" s="1" t="s">
        <v>105</v>
      </c>
      <c r="F32" s="2">
        <v>7.8</v>
      </c>
      <c r="G32" s="2"/>
    </row>
    <row r="33" spans="1:7" x14ac:dyDescent="0.25">
      <c r="C33">
        <v>336.1</v>
      </c>
      <c r="D33" t="s">
        <v>117</v>
      </c>
      <c r="E33" s="1" t="s">
        <v>60</v>
      </c>
      <c r="F33" s="2">
        <v>105</v>
      </c>
      <c r="G33" s="2"/>
    </row>
    <row r="34" spans="1:7" x14ac:dyDescent="0.25">
      <c r="C34">
        <v>350.06</v>
      </c>
      <c r="D34" t="s">
        <v>106</v>
      </c>
      <c r="E34" s="1" t="s">
        <v>14</v>
      </c>
      <c r="F34" s="2">
        <v>2000</v>
      </c>
      <c r="G34" s="2"/>
    </row>
    <row r="35" spans="1:7" x14ac:dyDescent="0.25">
      <c r="C35">
        <v>350.08</v>
      </c>
      <c r="D35" t="s">
        <v>209</v>
      </c>
      <c r="E35" s="1" t="s">
        <v>14</v>
      </c>
      <c r="F35" s="2">
        <v>2600</v>
      </c>
      <c r="G35" s="2"/>
    </row>
    <row r="36" spans="1:7" x14ac:dyDescent="0.25">
      <c r="C36">
        <v>350.12</v>
      </c>
      <c r="D36" t="s">
        <v>210</v>
      </c>
      <c r="E36" s="1" t="s">
        <v>14</v>
      </c>
      <c r="F36" s="2">
        <v>3900</v>
      </c>
      <c r="G36" s="2"/>
    </row>
    <row r="37" spans="1:7" x14ac:dyDescent="0.25">
      <c r="C37">
        <v>363.1</v>
      </c>
      <c r="D37" t="s">
        <v>116</v>
      </c>
      <c r="E37" s="1" t="s">
        <v>14</v>
      </c>
      <c r="F37" s="2">
        <v>545</v>
      </c>
      <c r="G37" s="2"/>
    </row>
    <row r="38" spans="1:7" x14ac:dyDescent="0.25">
      <c r="C38">
        <v>376</v>
      </c>
      <c r="D38" t="s">
        <v>102</v>
      </c>
      <c r="E38" s="1" t="s">
        <v>14</v>
      </c>
      <c r="F38" s="2">
        <v>5800</v>
      </c>
      <c r="G38" s="2"/>
    </row>
    <row r="39" spans="1:7" x14ac:dyDescent="0.25">
      <c r="C39">
        <v>381.01</v>
      </c>
      <c r="D39" t="s">
        <v>119</v>
      </c>
      <c r="E39" s="1" t="s">
        <v>14</v>
      </c>
      <c r="F39" s="2">
        <v>300</v>
      </c>
      <c r="G39" s="2"/>
    </row>
    <row r="40" spans="1:7" x14ac:dyDescent="0.25">
      <c r="C40">
        <v>384</v>
      </c>
      <c r="D40" t="s">
        <v>118</v>
      </c>
      <c r="E40" s="1" t="s">
        <v>14</v>
      </c>
      <c r="F40" s="2">
        <v>430</v>
      </c>
      <c r="G40" s="2"/>
    </row>
    <row r="41" spans="1:7" x14ac:dyDescent="0.25">
      <c r="A41" s="36"/>
      <c r="B41" s="36"/>
      <c r="C41" s="36"/>
      <c r="D41" s="36" t="s">
        <v>211</v>
      </c>
      <c r="E41" s="37" t="s">
        <v>46</v>
      </c>
      <c r="F41" s="38">
        <v>150</v>
      </c>
      <c r="G41" s="2"/>
    </row>
    <row r="42" spans="1:7" x14ac:dyDescent="0.25">
      <c r="C42">
        <v>570.20000000000005</v>
      </c>
      <c r="D42" t="s">
        <v>59</v>
      </c>
      <c r="E42" s="1" t="s">
        <v>60</v>
      </c>
      <c r="F42" s="2">
        <v>6</v>
      </c>
      <c r="G42" s="2"/>
    </row>
    <row r="43" spans="1:7" x14ac:dyDescent="0.25">
      <c r="C43">
        <v>503</v>
      </c>
      <c r="D43" t="s">
        <v>212</v>
      </c>
      <c r="E43" s="1" t="s">
        <v>60</v>
      </c>
      <c r="F43" s="2">
        <v>55</v>
      </c>
      <c r="G43" s="2"/>
    </row>
    <row r="44" spans="1:7" x14ac:dyDescent="0.25">
      <c r="C44">
        <v>503.1</v>
      </c>
      <c r="D44" t="s">
        <v>65</v>
      </c>
      <c r="E44" s="1" t="s">
        <v>60</v>
      </c>
      <c r="F44" s="2">
        <v>60</v>
      </c>
      <c r="G44" s="2"/>
    </row>
    <row r="45" spans="1:7" x14ac:dyDescent="0.25">
      <c r="C45">
        <v>510.1</v>
      </c>
      <c r="D45" t="s">
        <v>213</v>
      </c>
      <c r="E45" s="1" t="s">
        <v>60</v>
      </c>
      <c r="F45" s="2">
        <v>50</v>
      </c>
      <c r="G45" s="2"/>
    </row>
    <row r="46" spans="1:7" x14ac:dyDescent="0.25">
      <c r="A46" s="36"/>
      <c r="B46" s="36"/>
      <c r="C46" s="36">
        <v>602.1</v>
      </c>
      <c r="D46" s="36" t="s">
        <v>174</v>
      </c>
      <c r="E46" s="37" t="s">
        <v>14</v>
      </c>
      <c r="F46" s="38">
        <v>75</v>
      </c>
      <c r="G46" s="2"/>
    </row>
    <row r="47" spans="1:7" x14ac:dyDescent="0.25">
      <c r="A47" s="36"/>
      <c r="B47" s="36"/>
      <c r="C47" s="36">
        <v>603.4</v>
      </c>
      <c r="D47" s="36" t="s">
        <v>175</v>
      </c>
      <c r="E47" s="37" t="s">
        <v>14</v>
      </c>
      <c r="F47" s="38">
        <v>11.5</v>
      </c>
      <c r="G47" s="2"/>
    </row>
    <row r="48" spans="1:7" x14ac:dyDescent="0.25">
      <c r="A48" s="36"/>
      <c r="B48" s="36"/>
      <c r="C48" s="36">
        <v>621.1</v>
      </c>
      <c r="D48" s="36" t="s">
        <v>176</v>
      </c>
      <c r="E48" s="37" t="s">
        <v>60</v>
      </c>
      <c r="F48" s="38">
        <v>36</v>
      </c>
      <c r="G48" s="2"/>
    </row>
    <row r="49" spans="1:7" x14ac:dyDescent="0.25">
      <c r="C49">
        <v>685</v>
      </c>
      <c r="D49" t="s">
        <v>182</v>
      </c>
      <c r="E49" s="1" t="s">
        <v>21</v>
      </c>
      <c r="F49" s="2">
        <v>850</v>
      </c>
      <c r="G49" s="2"/>
    </row>
    <row r="50" spans="1:7" x14ac:dyDescent="0.25">
      <c r="C50">
        <v>697</v>
      </c>
      <c r="D50" t="s">
        <v>155</v>
      </c>
      <c r="E50" s="1" t="s">
        <v>60</v>
      </c>
      <c r="F50" s="2">
        <v>10</v>
      </c>
      <c r="G50" s="2"/>
    </row>
    <row r="51" spans="1:7" x14ac:dyDescent="0.25">
      <c r="C51">
        <v>701</v>
      </c>
      <c r="D51" t="s">
        <v>129</v>
      </c>
      <c r="E51" s="1" t="s">
        <v>35</v>
      </c>
      <c r="F51" s="2">
        <v>55</v>
      </c>
      <c r="G51" s="2"/>
    </row>
    <row r="52" spans="1:7" x14ac:dyDescent="0.25">
      <c r="C52">
        <v>702</v>
      </c>
      <c r="D52" t="s">
        <v>128</v>
      </c>
      <c r="E52" s="1" t="s">
        <v>46</v>
      </c>
      <c r="F52" s="2">
        <v>190</v>
      </c>
      <c r="G52" s="2"/>
    </row>
    <row r="53" spans="1:7" x14ac:dyDescent="0.25">
      <c r="C53">
        <v>710.4</v>
      </c>
      <c r="D53" t="s">
        <v>148</v>
      </c>
      <c r="E53" s="1" t="s">
        <v>14</v>
      </c>
      <c r="F53" s="2">
        <v>650</v>
      </c>
      <c r="G53" s="2"/>
    </row>
    <row r="54" spans="1:7" x14ac:dyDescent="0.25">
      <c r="C54">
        <v>751</v>
      </c>
      <c r="D54" t="s">
        <v>136</v>
      </c>
      <c r="E54" s="1" t="s">
        <v>21</v>
      </c>
      <c r="F54" s="2">
        <v>50</v>
      </c>
      <c r="G54" s="2"/>
    </row>
    <row r="55" spans="1:7" x14ac:dyDescent="0.25">
      <c r="C55">
        <v>752</v>
      </c>
      <c r="D55" t="s">
        <v>214</v>
      </c>
      <c r="E55" s="1" t="s">
        <v>21</v>
      </c>
      <c r="F55" s="2">
        <v>30</v>
      </c>
      <c r="G55" s="2"/>
    </row>
    <row r="56" spans="1:7" x14ac:dyDescent="0.25">
      <c r="A56" s="36"/>
      <c r="B56" s="36"/>
      <c r="C56" s="36">
        <v>755</v>
      </c>
      <c r="D56" s="36" t="s">
        <v>190</v>
      </c>
      <c r="E56" s="37" t="s">
        <v>35</v>
      </c>
      <c r="F56" s="38">
        <v>102</v>
      </c>
      <c r="G56" s="2"/>
    </row>
    <row r="57" spans="1:7" x14ac:dyDescent="0.25">
      <c r="C57">
        <v>765</v>
      </c>
      <c r="D57" t="s">
        <v>137</v>
      </c>
      <c r="E57" s="1" t="s">
        <v>35</v>
      </c>
      <c r="F57" s="2">
        <v>1.8</v>
      </c>
      <c r="G57" s="2"/>
    </row>
    <row r="58" spans="1:7" x14ac:dyDescent="0.25">
      <c r="C58">
        <v>767.8</v>
      </c>
      <c r="D58" t="s">
        <v>158</v>
      </c>
      <c r="E58" s="1" t="s">
        <v>14</v>
      </c>
      <c r="F58" s="2">
        <v>10</v>
      </c>
      <c r="G58" s="2"/>
    </row>
    <row r="59" spans="1:7" x14ac:dyDescent="0.25">
      <c r="C59" s="9">
        <v>776.54300000000001</v>
      </c>
      <c r="D59" t="s">
        <v>140</v>
      </c>
      <c r="E59" s="1" t="s">
        <v>14</v>
      </c>
      <c r="F59" s="2">
        <v>800</v>
      </c>
      <c r="G59" s="2"/>
    </row>
    <row r="60" spans="1:7" x14ac:dyDescent="0.25">
      <c r="C60">
        <v>812.1</v>
      </c>
      <c r="D60" t="s">
        <v>142</v>
      </c>
      <c r="E60" s="1" t="s">
        <v>14</v>
      </c>
      <c r="F60" s="2">
        <v>2500</v>
      </c>
      <c r="G60" s="2"/>
    </row>
    <row r="61" spans="1:7" x14ac:dyDescent="0.25">
      <c r="C61">
        <v>811.27</v>
      </c>
      <c r="D61" t="s">
        <v>215</v>
      </c>
      <c r="E61" s="1" t="s">
        <v>14</v>
      </c>
      <c r="F61" s="2">
        <v>1500</v>
      </c>
      <c r="G61" s="2"/>
    </row>
    <row r="62" spans="1:7" x14ac:dyDescent="0.25">
      <c r="A62" s="36"/>
      <c r="B62" s="36"/>
      <c r="C62" s="36">
        <v>821.12</v>
      </c>
      <c r="D62" s="36" t="s">
        <v>143</v>
      </c>
      <c r="E62" s="37" t="s">
        <v>14</v>
      </c>
      <c r="F62" s="38">
        <v>4300</v>
      </c>
      <c r="G62" s="2"/>
    </row>
    <row r="63" spans="1:7" x14ac:dyDescent="0.25">
      <c r="C63">
        <v>874</v>
      </c>
      <c r="D63" t="s">
        <v>150</v>
      </c>
      <c r="E63" s="1" t="s">
        <v>14</v>
      </c>
      <c r="F63" s="2">
        <v>100</v>
      </c>
      <c r="G63" s="2"/>
    </row>
    <row r="64" spans="1:7" x14ac:dyDescent="0.25">
      <c r="C64">
        <v>877.4</v>
      </c>
      <c r="D64" t="s">
        <v>151</v>
      </c>
      <c r="E64" s="1" t="s">
        <v>14</v>
      </c>
      <c r="F64" s="2">
        <v>627.5</v>
      </c>
      <c r="G64" s="2"/>
    </row>
    <row r="65" spans="3:7" x14ac:dyDescent="0.25">
      <c r="C65">
        <v>904</v>
      </c>
      <c r="D65" t="s">
        <v>67</v>
      </c>
      <c r="E65" s="1" t="s">
        <v>21</v>
      </c>
      <c r="F65" s="2">
        <v>1375</v>
      </c>
      <c r="G65" s="2"/>
    </row>
    <row r="66" spans="3:7" x14ac:dyDescent="0.25">
      <c r="C66">
        <v>983.2</v>
      </c>
      <c r="D66" t="s">
        <v>162</v>
      </c>
      <c r="E66" s="1" t="s">
        <v>21</v>
      </c>
      <c r="F66" s="2">
        <v>90</v>
      </c>
      <c r="G66" s="2"/>
    </row>
    <row r="67" spans="3:7" x14ac:dyDescent="0.25">
      <c r="C67">
        <v>514.20000000000005</v>
      </c>
      <c r="D67" t="s">
        <v>77</v>
      </c>
      <c r="E67" s="1" t="s">
        <v>14</v>
      </c>
      <c r="F67" s="2">
        <v>490</v>
      </c>
      <c r="G67" s="2"/>
    </row>
    <row r="68" spans="3:7" x14ac:dyDescent="0.25">
      <c r="D68" t="s">
        <v>216</v>
      </c>
      <c r="E68" s="1" t="s">
        <v>37</v>
      </c>
      <c r="F68" s="2">
        <v>120</v>
      </c>
      <c r="G68" s="2"/>
    </row>
    <row r="69" spans="3:7" x14ac:dyDescent="0.25">
      <c r="D69" t="s">
        <v>217</v>
      </c>
      <c r="E69" s="1" t="s">
        <v>37</v>
      </c>
      <c r="F69" s="2">
        <v>75</v>
      </c>
      <c r="G69" s="2"/>
    </row>
    <row r="70" spans="3:7" x14ac:dyDescent="0.25">
      <c r="D70" t="s">
        <v>218</v>
      </c>
      <c r="E70" s="1" t="s">
        <v>196</v>
      </c>
      <c r="F70" s="2">
        <v>1300</v>
      </c>
      <c r="G70" s="2"/>
    </row>
    <row r="71" spans="3:7" x14ac:dyDescent="0.25">
      <c r="C71" t="s">
        <v>219</v>
      </c>
      <c r="E71" s="1"/>
      <c r="F71" s="2"/>
      <c r="G71" s="2"/>
    </row>
  </sheetData>
  <sheetProtection algorithmName="SHA-512" hashValue="Ow4aiAKhZQqXBhYpqrJivxrS0PITY4k/hWB5kG48Ls7mgz00etI8o1dMDRkWX2hHgv8nlfqbnmNZX5PVSmyDYQ==" saltValue="kx6iVc79j5ExRvEK8a4ifg==" spinCount="100000" sheet="1" objects="1" scenarios="1"/>
  <mergeCells count="1">
    <mergeCell ref="C4:F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48"/>
  <sheetViews>
    <sheetView topLeftCell="A204" workbookViewId="0">
      <selection activeCell="J242" sqref="J242"/>
    </sheetView>
  </sheetViews>
  <sheetFormatPr defaultRowHeight="15" x14ac:dyDescent="0.25"/>
  <cols>
    <col min="3" max="3" width="7.28515625" customWidth="1"/>
    <col min="4" max="4" width="36.5703125" bestFit="1" customWidth="1"/>
    <col min="5" max="5" width="11.28515625" customWidth="1"/>
    <col min="6" max="6" width="12" customWidth="1"/>
    <col min="8" max="8" width="9.28515625" bestFit="1" customWidth="1"/>
    <col min="10" max="10" width="9.5703125" bestFit="1" customWidth="1"/>
    <col min="11" max="11" width="11.7109375" customWidth="1"/>
    <col min="12" max="12" width="10.42578125" customWidth="1"/>
    <col min="13" max="13" width="13.7109375" bestFit="1" customWidth="1"/>
  </cols>
  <sheetData>
    <row r="3" spans="3:12" x14ac:dyDescent="0.25">
      <c r="C3" t="s">
        <v>0</v>
      </c>
      <c r="G3" t="s">
        <v>1</v>
      </c>
    </row>
    <row r="6" spans="3:12" ht="15.75" thickBot="1" x14ac:dyDescent="0.3"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/>
      <c r="I6" s="14"/>
      <c r="J6" s="14"/>
      <c r="K6" s="14"/>
      <c r="L6" s="14"/>
    </row>
    <row r="7" spans="3:12" ht="15.75" thickTop="1" x14ac:dyDescent="0.25">
      <c r="J7" t="s">
        <v>7</v>
      </c>
      <c r="K7" t="s">
        <v>7</v>
      </c>
      <c r="L7" t="s">
        <v>7</v>
      </c>
    </row>
    <row r="8" spans="3:12" x14ac:dyDescent="0.25">
      <c r="H8" t="s">
        <v>51</v>
      </c>
      <c r="J8" t="s">
        <v>8</v>
      </c>
      <c r="K8" t="s">
        <v>9</v>
      </c>
      <c r="L8" t="s">
        <v>10</v>
      </c>
    </row>
    <row r="9" spans="3:12" x14ac:dyDescent="0.25">
      <c r="C9">
        <v>101</v>
      </c>
      <c r="D9" t="s">
        <v>11</v>
      </c>
      <c r="E9" t="s">
        <v>12</v>
      </c>
      <c r="F9" s="2">
        <f>'Unit Prices'!$F$6</f>
        <v>27000</v>
      </c>
      <c r="H9" s="3">
        <f>$F$9/43560</f>
        <v>0.6198347107438017</v>
      </c>
      <c r="I9" s="3"/>
      <c r="J9" s="3">
        <f>$H9*40</f>
        <v>24.793388429752067</v>
      </c>
      <c r="K9" s="3">
        <f>$H$9*50</f>
        <v>30.991735537190085</v>
      </c>
      <c r="L9" s="3">
        <f>$H$9*60</f>
        <v>37.190082644628099</v>
      </c>
    </row>
    <row r="10" spans="3:12" x14ac:dyDescent="0.25">
      <c r="C10">
        <v>103</v>
      </c>
      <c r="D10" t="s">
        <v>13</v>
      </c>
      <c r="E10" t="s">
        <v>14</v>
      </c>
      <c r="F10" s="2">
        <f>'Unit Prices'!$F$7</f>
        <v>1100</v>
      </c>
      <c r="H10" s="3">
        <f>$F$10*10/43560</f>
        <v>0.25252525252525254</v>
      </c>
      <c r="I10" s="3"/>
      <c r="J10" s="3">
        <f>$H10*40</f>
        <v>10.101010101010102</v>
      </c>
      <c r="K10" s="3">
        <f>$H10*50</f>
        <v>12.626262626262626</v>
      </c>
      <c r="L10" s="3">
        <f>$H10*60</f>
        <v>15.151515151515152</v>
      </c>
    </row>
    <row r="11" spans="3:12" ht="15.75" thickBot="1" x14ac:dyDescent="0.3">
      <c r="C11">
        <v>105</v>
      </c>
      <c r="D11" t="s">
        <v>15</v>
      </c>
      <c r="E11" t="s">
        <v>14</v>
      </c>
      <c r="F11" s="2">
        <f>'Unit Prices'!$F$8</f>
        <v>475</v>
      </c>
      <c r="H11" s="3">
        <f>$F$11*10/43560</f>
        <v>0.10904499540863177</v>
      </c>
      <c r="I11" s="3"/>
      <c r="J11" s="4">
        <f>$H11*40</f>
        <v>4.3617998163452709</v>
      </c>
      <c r="K11" s="4">
        <f>$H$11*50</f>
        <v>5.4522497704315889</v>
      </c>
      <c r="L11" s="4">
        <f>$H$11*60</f>
        <v>6.5426997245179059</v>
      </c>
    </row>
    <row r="12" spans="3:12" x14ac:dyDescent="0.25">
      <c r="J12" s="12">
        <f>SUM(J9:J11)</f>
        <v>39.256198347107436</v>
      </c>
      <c r="K12" s="12">
        <f>SUM(K9:K11)</f>
        <v>49.070247933884303</v>
      </c>
      <c r="L12" s="12">
        <f>SUM(L9:L11)</f>
        <v>58.88429752066115</v>
      </c>
    </row>
    <row r="13" spans="3:12" x14ac:dyDescent="0.25">
      <c r="F13" t="s">
        <v>16</v>
      </c>
    </row>
    <row r="16" spans="3:12" ht="15.75" thickBot="1" x14ac:dyDescent="0.3">
      <c r="C16" s="17"/>
      <c r="D16" s="17"/>
      <c r="E16" s="17"/>
      <c r="F16" s="17"/>
      <c r="G16" s="18" t="s">
        <v>17</v>
      </c>
      <c r="H16" s="17"/>
      <c r="I16" s="17"/>
      <c r="J16" s="17"/>
      <c r="K16" s="17"/>
      <c r="L16" s="17"/>
    </row>
    <row r="17" spans="3:14" x14ac:dyDescent="0.25">
      <c r="I17" t="s">
        <v>18</v>
      </c>
      <c r="J17" t="s">
        <v>7</v>
      </c>
      <c r="K17" t="s">
        <v>7</v>
      </c>
      <c r="L17" t="s">
        <v>7</v>
      </c>
    </row>
    <row r="18" spans="3:14" x14ac:dyDescent="0.25">
      <c r="H18" t="s">
        <v>19</v>
      </c>
      <c r="I18" t="s">
        <v>52</v>
      </c>
      <c r="J18" t="s">
        <v>8</v>
      </c>
      <c r="K18" t="s">
        <v>9</v>
      </c>
      <c r="L18" t="s">
        <v>10</v>
      </c>
    </row>
    <row r="19" spans="3:14" x14ac:dyDescent="0.25">
      <c r="C19">
        <v>120</v>
      </c>
      <c r="D19" t="s">
        <v>20</v>
      </c>
      <c r="E19" t="s">
        <v>21</v>
      </c>
      <c r="F19" s="2">
        <f>'Unit Prices'!$F$9</f>
        <v>30</v>
      </c>
      <c r="G19">
        <v>0.6</v>
      </c>
      <c r="H19" s="3">
        <f>$F19*0.03704</f>
        <v>1.1112</v>
      </c>
      <c r="I19" s="3">
        <f>($H19/1)*1.33</f>
        <v>1.4778960000000001</v>
      </c>
      <c r="J19" s="3">
        <f>$I19*40*$G19</f>
        <v>35.469504000000001</v>
      </c>
      <c r="K19" s="3">
        <f>$I19*50*$G19</f>
        <v>44.336880000000001</v>
      </c>
      <c r="L19" s="3">
        <f>$I19*60*$G19</f>
        <v>53.204256000000001</v>
      </c>
    </row>
    <row r="20" spans="3:14" x14ac:dyDescent="0.25">
      <c r="C20">
        <v>120.1</v>
      </c>
      <c r="D20" t="s">
        <v>22</v>
      </c>
      <c r="E20" t="s">
        <v>21</v>
      </c>
      <c r="F20" s="2">
        <f>'Unit Prices'!$F$10</f>
        <v>40</v>
      </c>
      <c r="G20">
        <v>0.3</v>
      </c>
      <c r="H20" s="3">
        <f>$F20*0.03704</f>
        <v>1.4815999999999998</v>
      </c>
      <c r="I20" s="3">
        <f>($H20/1)*1.33</f>
        <v>1.9705279999999998</v>
      </c>
      <c r="J20" s="3">
        <f>$I20*40*$G20</f>
        <v>23.646335999999998</v>
      </c>
      <c r="K20" s="3">
        <f>$I20*50*$G20</f>
        <v>29.557919999999996</v>
      </c>
      <c r="L20" s="3">
        <f>$I20*60*$G20</f>
        <v>35.469503999999993</v>
      </c>
    </row>
    <row r="21" spans="3:14" ht="15.75" thickBot="1" x14ac:dyDescent="0.3">
      <c r="C21">
        <v>121</v>
      </c>
      <c r="D21" t="s">
        <v>23</v>
      </c>
      <c r="E21" t="s">
        <v>21</v>
      </c>
      <c r="F21" s="2">
        <f>'Unit Prices'!$F$11</f>
        <v>100</v>
      </c>
      <c r="G21">
        <v>0.1</v>
      </c>
      <c r="H21" s="3">
        <f>$F21*0.03704</f>
        <v>3.7039999999999997</v>
      </c>
      <c r="I21" s="3">
        <f>($H21/1)*1.33</f>
        <v>4.9263199999999996</v>
      </c>
      <c r="J21" s="4">
        <f>$I21*40*$G21</f>
        <v>19.705280000000002</v>
      </c>
      <c r="K21" s="4">
        <f>$I21*50*$G21</f>
        <v>24.631599999999999</v>
      </c>
      <c r="L21" s="4">
        <f>$I21*60*$G21</f>
        <v>29.557919999999996</v>
      </c>
    </row>
    <row r="22" spans="3:14" x14ac:dyDescent="0.25">
      <c r="J22" s="12">
        <f>SUM(J19:J21)</f>
        <v>78.821120000000008</v>
      </c>
      <c r="K22" s="12">
        <f t="shared" ref="K22:L22" si="0">SUM(K19:K21)</f>
        <v>98.526399999999995</v>
      </c>
      <c r="L22" s="12">
        <f t="shared" si="0"/>
        <v>118.23167999999998</v>
      </c>
    </row>
    <row r="23" spans="3:14" x14ac:dyDescent="0.25">
      <c r="F23" t="s">
        <v>24</v>
      </c>
    </row>
    <row r="25" spans="3:14" ht="15.75" thickBot="1" x14ac:dyDescent="0.3">
      <c r="C25" s="17"/>
      <c r="D25" s="17"/>
      <c r="E25" s="17"/>
      <c r="F25" s="17"/>
      <c r="G25" s="18" t="s">
        <v>25</v>
      </c>
      <c r="H25" s="17"/>
      <c r="I25" s="17"/>
      <c r="J25" s="17"/>
      <c r="K25" s="17"/>
      <c r="L25" s="17"/>
      <c r="M25" s="17"/>
      <c r="N25" s="17"/>
    </row>
    <row r="26" spans="3:14" x14ac:dyDescent="0.25">
      <c r="I26" t="s">
        <v>26</v>
      </c>
      <c r="J26" t="s">
        <v>53</v>
      </c>
    </row>
    <row r="27" spans="3:14" x14ac:dyDescent="0.25">
      <c r="H27" t="s">
        <v>19</v>
      </c>
      <c r="I27" t="s">
        <v>27</v>
      </c>
      <c r="J27" t="s">
        <v>28</v>
      </c>
      <c r="K27" t="s">
        <v>29</v>
      </c>
      <c r="L27" t="s">
        <v>30</v>
      </c>
      <c r="M27" t="s">
        <v>31</v>
      </c>
      <c r="N27" t="s">
        <v>32</v>
      </c>
    </row>
    <row r="28" spans="3:14" x14ac:dyDescent="0.25">
      <c r="C28">
        <v>151.01</v>
      </c>
      <c r="D28" t="s">
        <v>33</v>
      </c>
      <c r="E28" t="s">
        <v>21</v>
      </c>
      <c r="F28" s="2">
        <f>'Unit Prices'!$F$14</f>
        <v>47.5</v>
      </c>
      <c r="H28" s="3">
        <f>$F28*0.03704</f>
        <v>1.7593999999999999</v>
      </c>
      <c r="I28" s="3">
        <f>$H28/1</f>
        <v>1.7593999999999999</v>
      </c>
      <c r="J28" s="3">
        <f>$I28*18</f>
        <v>31.669199999999996</v>
      </c>
      <c r="K28" s="3">
        <f>$I28*20</f>
        <v>35.187999999999995</v>
      </c>
      <c r="L28" s="3">
        <f>$I28*24</f>
        <v>42.2256</v>
      </c>
      <c r="M28" s="3">
        <f>$I28*30</f>
        <v>52.781999999999996</v>
      </c>
      <c r="N28" s="3">
        <f>$I28*36</f>
        <v>63.338399999999993</v>
      </c>
    </row>
    <row r="29" spans="3:14" ht="15.75" thickBot="1" x14ac:dyDescent="0.3">
      <c r="C29">
        <v>170</v>
      </c>
      <c r="D29" t="s">
        <v>34</v>
      </c>
      <c r="E29" t="s">
        <v>35</v>
      </c>
      <c r="F29" s="2">
        <f>'Unit Prices'!$F$15</f>
        <v>5</v>
      </c>
      <c r="H29" s="3"/>
      <c r="I29" s="3">
        <f>$F$29/9</f>
        <v>0.55555555555555558</v>
      </c>
      <c r="J29" s="4">
        <f>$I29*18</f>
        <v>10</v>
      </c>
      <c r="K29" s="4">
        <f>$I29*20</f>
        <v>11.111111111111111</v>
      </c>
      <c r="L29" s="4">
        <f>$I29*24</f>
        <v>13.333333333333334</v>
      </c>
      <c r="M29" s="4">
        <f>$I29*30</f>
        <v>16.666666666666668</v>
      </c>
      <c r="N29" s="4">
        <f>$I29*36</f>
        <v>20</v>
      </c>
    </row>
    <row r="30" spans="3:14" x14ac:dyDescent="0.25">
      <c r="H30" s="3"/>
      <c r="I30" s="3"/>
      <c r="J30" s="12">
        <f>SUM(J28:J29)</f>
        <v>41.669199999999996</v>
      </c>
      <c r="K30" s="12">
        <f t="shared" ref="K30:N30" si="1">SUM(K28:K29)</f>
        <v>46.299111111111102</v>
      </c>
      <c r="L30" s="12">
        <f t="shared" si="1"/>
        <v>55.558933333333336</v>
      </c>
      <c r="M30" s="12">
        <f t="shared" si="1"/>
        <v>69.448666666666668</v>
      </c>
      <c r="N30" s="12">
        <f t="shared" si="1"/>
        <v>83.338399999999993</v>
      </c>
    </row>
    <row r="31" spans="3:14" x14ac:dyDescent="0.25">
      <c r="H31" t="s">
        <v>54</v>
      </c>
      <c r="I31" t="s">
        <v>55</v>
      </c>
    </row>
    <row r="32" spans="3:14" x14ac:dyDescent="0.25">
      <c r="D32" t="s">
        <v>36</v>
      </c>
      <c r="E32" t="s">
        <v>37</v>
      </c>
      <c r="F32" s="2">
        <f>'Unit Prices'!$F$69</f>
        <v>75</v>
      </c>
      <c r="H32" s="11">
        <f>$F$32*6/500</f>
        <v>0.9</v>
      </c>
      <c r="I32" s="11">
        <f>$F$32*6/500</f>
        <v>0.9</v>
      </c>
      <c r="J32" t="s">
        <v>38</v>
      </c>
    </row>
    <row r="33" spans="3:14" x14ac:dyDescent="0.25">
      <c r="J33" t="s">
        <v>39</v>
      </c>
    </row>
    <row r="35" spans="3:14" ht="15.75" thickBot="1" x14ac:dyDescent="0.3">
      <c r="C35" s="17"/>
      <c r="D35" s="17"/>
      <c r="E35" s="17"/>
      <c r="F35" s="17"/>
      <c r="G35" s="18" t="s">
        <v>56</v>
      </c>
      <c r="H35" s="17"/>
      <c r="I35" s="17"/>
      <c r="J35" s="17"/>
      <c r="K35" s="17"/>
      <c r="L35" s="17"/>
      <c r="M35" s="17"/>
      <c r="N35" s="17"/>
    </row>
    <row r="36" spans="3:14" x14ac:dyDescent="0.25">
      <c r="G36" t="s">
        <v>40</v>
      </c>
      <c r="H36" t="s">
        <v>41</v>
      </c>
      <c r="I36" t="s">
        <v>7</v>
      </c>
    </row>
    <row r="37" spans="3:14" x14ac:dyDescent="0.25">
      <c r="G37" t="s">
        <v>27</v>
      </c>
      <c r="H37" t="s">
        <v>42</v>
      </c>
      <c r="I37" t="s">
        <v>28</v>
      </c>
      <c r="J37" t="s">
        <v>29</v>
      </c>
      <c r="K37" t="s">
        <v>30</v>
      </c>
      <c r="L37" t="s">
        <v>31</v>
      </c>
      <c r="M37" t="s">
        <v>43</v>
      </c>
      <c r="N37" t="s">
        <v>44</v>
      </c>
    </row>
    <row r="38" spans="3:14" x14ac:dyDescent="0.25">
      <c r="C38">
        <v>460</v>
      </c>
      <c r="D38" t="s">
        <v>45</v>
      </c>
      <c r="E38" t="s">
        <v>46</v>
      </c>
      <c r="F38" s="2">
        <f>'Unit Prices'!$F$41</f>
        <v>150</v>
      </c>
      <c r="G38" s="3">
        <f>$F38*(2.5*0.056/9)</f>
        <v>2.3333333333333335</v>
      </c>
      <c r="H38" s="3">
        <f>$F38*(3.5*0.056/9)</f>
        <v>3.2666666666666666</v>
      </c>
      <c r="I38" s="11">
        <f>$G$38*18</f>
        <v>42</v>
      </c>
      <c r="J38" s="12">
        <f>$G$38*20</f>
        <v>46.666666666666671</v>
      </c>
      <c r="K38" s="12">
        <f>$G$38*24</f>
        <v>56</v>
      </c>
      <c r="L38" s="12">
        <f>$G$38*30</f>
        <v>70</v>
      </c>
      <c r="M38" s="12">
        <f>$H$38*30</f>
        <v>98</v>
      </c>
      <c r="N38" s="12">
        <f>$H$38*36</f>
        <v>117.6</v>
      </c>
    </row>
    <row r="40" spans="3:14" x14ac:dyDescent="0.25">
      <c r="H40" t="s">
        <v>53</v>
      </c>
      <c r="I40" t="s">
        <v>55</v>
      </c>
    </row>
    <row r="41" spans="3:14" x14ac:dyDescent="0.25">
      <c r="D41" t="s">
        <v>47</v>
      </c>
      <c r="E41" t="s">
        <v>37</v>
      </c>
      <c r="F41" s="2">
        <f>'Unit Prices'!$F$69</f>
        <v>75</v>
      </c>
      <c r="H41">
        <f>$F$32*6/500</f>
        <v>0.9</v>
      </c>
      <c r="I41">
        <f>$F$32*6/500</f>
        <v>0.9</v>
      </c>
    </row>
    <row r="43" spans="3:14" ht="15.75" thickBot="1" x14ac:dyDescent="0.3">
      <c r="C43" s="17"/>
      <c r="D43" s="17"/>
      <c r="E43" s="17"/>
      <c r="F43" s="17"/>
      <c r="G43" s="18" t="s">
        <v>48</v>
      </c>
      <c r="H43" s="17"/>
      <c r="I43" s="17"/>
      <c r="J43" s="17"/>
      <c r="K43" s="17"/>
      <c r="L43" s="17"/>
      <c r="M43" s="17"/>
      <c r="N43" s="17"/>
    </row>
    <row r="44" spans="3:14" x14ac:dyDescent="0.25">
      <c r="H44" t="s">
        <v>49</v>
      </c>
      <c r="I44" t="s">
        <v>7</v>
      </c>
    </row>
    <row r="45" spans="3:14" x14ac:dyDescent="0.25">
      <c r="H45" t="s">
        <v>27</v>
      </c>
      <c r="I45" t="s">
        <v>28</v>
      </c>
      <c r="J45" t="s">
        <v>29</v>
      </c>
      <c r="K45" t="s">
        <v>30</v>
      </c>
      <c r="L45" t="s">
        <v>31</v>
      </c>
      <c r="M45" t="s">
        <v>32</v>
      </c>
    </row>
    <row r="46" spans="3:14" x14ac:dyDescent="0.25">
      <c r="C46">
        <v>460</v>
      </c>
      <c r="D46" t="s">
        <v>50</v>
      </c>
      <c r="E46" t="s">
        <v>46</v>
      </c>
      <c r="F46" s="2">
        <f>'Unit Prices'!$F$41</f>
        <v>150</v>
      </c>
      <c r="H46">
        <f>$F46*(1.5*0.056/9)</f>
        <v>1.4000000000000001</v>
      </c>
      <c r="I46" s="12">
        <f>$H$46*18</f>
        <v>25.200000000000003</v>
      </c>
      <c r="J46" s="12">
        <f>$H$46*20</f>
        <v>28.000000000000004</v>
      </c>
      <c r="K46" s="12">
        <f>$H$46*24</f>
        <v>33.6</v>
      </c>
      <c r="L46" s="12">
        <f>$H$46*30</f>
        <v>42.000000000000007</v>
      </c>
      <c r="M46" s="12">
        <f>$H$46*36</f>
        <v>50.400000000000006</v>
      </c>
    </row>
    <row r="48" spans="3:14" x14ac:dyDescent="0.25">
      <c r="H48" t="s">
        <v>53</v>
      </c>
      <c r="I48" t="s">
        <v>55</v>
      </c>
    </row>
    <row r="49" spans="3:14" x14ac:dyDescent="0.25">
      <c r="D49" t="s">
        <v>47</v>
      </c>
      <c r="E49" t="s">
        <v>37</v>
      </c>
      <c r="F49">
        <f>'[1]Unit Prices'!$F$69</f>
        <v>75</v>
      </c>
      <c r="H49">
        <f>$F$32*6/500</f>
        <v>0.9</v>
      </c>
      <c r="I49">
        <f>$F$32*6/500</f>
        <v>0.9</v>
      </c>
    </row>
    <row r="51" spans="3:14" ht="15.75" thickBot="1" x14ac:dyDescent="0.3">
      <c r="C51" s="17"/>
      <c r="D51" s="17"/>
      <c r="E51" s="17"/>
      <c r="F51" s="17"/>
      <c r="G51" s="18" t="s">
        <v>57</v>
      </c>
      <c r="H51" s="17"/>
      <c r="I51" s="17"/>
      <c r="J51" s="17"/>
      <c r="K51" s="17"/>
      <c r="L51" s="17"/>
      <c r="M51" s="17"/>
      <c r="N51" s="17"/>
    </row>
    <row r="52" spans="3:14" x14ac:dyDescent="0.25">
      <c r="H52" t="s">
        <v>7</v>
      </c>
    </row>
    <row r="53" spans="3:14" x14ac:dyDescent="0.25">
      <c r="H53" t="s">
        <v>58</v>
      </c>
      <c r="J53" t="s">
        <v>7</v>
      </c>
    </row>
    <row r="54" spans="3:14" x14ac:dyDescent="0.25">
      <c r="C54">
        <v>470.2</v>
      </c>
      <c r="D54" t="s">
        <v>59</v>
      </c>
      <c r="E54" t="s">
        <v>60</v>
      </c>
      <c r="F54" s="2">
        <f>'Unit Prices'!$F$42</f>
        <v>6</v>
      </c>
      <c r="H54" s="2">
        <f>$F54</f>
        <v>6</v>
      </c>
      <c r="J54" t="s">
        <v>61</v>
      </c>
      <c r="L54" t="s">
        <v>62</v>
      </c>
      <c r="N54" t="s">
        <v>63</v>
      </c>
    </row>
    <row r="55" spans="3:14" x14ac:dyDescent="0.25">
      <c r="C55">
        <v>503</v>
      </c>
      <c r="D55" t="s">
        <v>64</v>
      </c>
      <c r="E55" t="s">
        <v>60</v>
      </c>
      <c r="F55" s="2">
        <f>'Unit Prices'!F43</f>
        <v>55</v>
      </c>
      <c r="J55" s="2">
        <f>$F$55</f>
        <v>55</v>
      </c>
      <c r="L55" s="3">
        <f>$F$59*(0.5*1/27)</f>
        <v>25.462962962962962</v>
      </c>
      <c r="M55" s="3"/>
      <c r="N55" s="12">
        <f>J55+L55</f>
        <v>80.462962962962962</v>
      </c>
    </row>
    <row r="56" spans="3:14" x14ac:dyDescent="0.25">
      <c r="C56">
        <v>503.1</v>
      </c>
      <c r="D56" t="s">
        <v>65</v>
      </c>
      <c r="E56" t="s">
        <v>60</v>
      </c>
      <c r="F56" s="2">
        <f>'Unit Prices'!F44</f>
        <v>60</v>
      </c>
      <c r="J56" s="2">
        <f>$F$56</f>
        <v>60</v>
      </c>
      <c r="L56" s="3">
        <f>$F$59*(0.5*1/27)</f>
        <v>25.462962962962962</v>
      </c>
      <c r="M56" s="3"/>
      <c r="N56" s="12">
        <f t="shared" ref="N56:N57" si="2">J56+L56</f>
        <v>85.462962962962962</v>
      </c>
    </row>
    <row r="57" spans="3:14" x14ac:dyDescent="0.25">
      <c r="C57">
        <v>511.1</v>
      </c>
      <c r="D57" t="s">
        <v>66</v>
      </c>
      <c r="E57" t="s">
        <v>60</v>
      </c>
      <c r="F57" s="2">
        <f>'Unit Prices'!F45</f>
        <v>50</v>
      </c>
      <c r="J57" s="2">
        <f>$F$57</f>
        <v>50</v>
      </c>
      <c r="L57" s="3">
        <f>$F$59*(0.5*1/27)</f>
        <v>25.462962962962962</v>
      </c>
      <c r="M57" s="3"/>
      <c r="N57" s="12">
        <f t="shared" si="2"/>
        <v>75.462962962962962</v>
      </c>
    </row>
    <row r="59" spans="3:14" x14ac:dyDescent="0.25">
      <c r="C59">
        <v>904</v>
      </c>
      <c r="D59" t="s">
        <v>67</v>
      </c>
      <c r="E59" t="s">
        <v>21</v>
      </c>
      <c r="F59" s="2">
        <f>'Unit Prices'!$F$65</f>
        <v>1375</v>
      </c>
    </row>
    <row r="62" spans="3:14" ht="15.75" thickBot="1" x14ac:dyDescent="0.3">
      <c r="C62" s="17"/>
      <c r="D62" s="17"/>
      <c r="E62" s="17"/>
      <c r="F62" s="17"/>
      <c r="G62" s="18" t="s">
        <v>68</v>
      </c>
      <c r="H62" s="17"/>
      <c r="I62" s="17"/>
      <c r="J62" s="17"/>
      <c r="K62" s="17"/>
      <c r="L62" s="17"/>
      <c r="M62" s="17"/>
      <c r="N62" s="17"/>
    </row>
    <row r="63" spans="3:14" x14ac:dyDescent="0.25">
      <c r="J63" t="s">
        <v>69</v>
      </c>
    </row>
    <row r="64" spans="3:14" x14ac:dyDescent="0.25">
      <c r="H64" t="s">
        <v>70</v>
      </c>
      <c r="J64" t="s">
        <v>71</v>
      </c>
      <c r="L64" t="s">
        <v>72</v>
      </c>
    </row>
    <row r="65" spans="3:14" x14ac:dyDescent="0.25">
      <c r="C65">
        <v>201.5</v>
      </c>
      <c r="D65" t="s">
        <v>73</v>
      </c>
      <c r="E65" t="s">
        <v>14</v>
      </c>
      <c r="F65" s="2">
        <f>'Unit Prices'!F17</f>
        <v>10000</v>
      </c>
      <c r="J65" s="16">
        <f>$F65</f>
        <v>10000</v>
      </c>
    </row>
    <row r="66" spans="3:14" x14ac:dyDescent="0.25">
      <c r="C66">
        <v>202.01</v>
      </c>
      <c r="D66" t="s">
        <v>74</v>
      </c>
      <c r="E66" t="s">
        <v>14</v>
      </c>
      <c r="F66" s="2">
        <f>'Unit Prices'!F18</f>
        <v>6000</v>
      </c>
      <c r="H66" s="16">
        <f>$F66</f>
        <v>6000</v>
      </c>
    </row>
    <row r="67" spans="3:14" x14ac:dyDescent="0.25">
      <c r="C67">
        <v>222.3</v>
      </c>
      <c r="D67" t="s">
        <v>75</v>
      </c>
      <c r="E67" t="s">
        <v>14</v>
      </c>
      <c r="F67" s="2">
        <f>'Unit Prices'!F19</f>
        <v>950</v>
      </c>
      <c r="H67" s="16">
        <f>$F67</f>
        <v>950</v>
      </c>
      <c r="J67" s="16">
        <f>$F67</f>
        <v>950</v>
      </c>
    </row>
    <row r="68" spans="3:14" x14ac:dyDescent="0.25">
      <c r="C68">
        <v>225.52</v>
      </c>
      <c r="D68" t="s">
        <v>76</v>
      </c>
      <c r="E68" t="s">
        <v>14</v>
      </c>
      <c r="F68" s="2">
        <f>'Unit Prices'!F20</f>
        <v>600</v>
      </c>
      <c r="J68" s="16">
        <f>$F68</f>
        <v>600</v>
      </c>
    </row>
    <row r="69" spans="3:14" x14ac:dyDescent="0.25">
      <c r="C69">
        <v>514.20000000000005</v>
      </c>
      <c r="D69" t="s">
        <v>77</v>
      </c>
      <c r="E69" t="s">
        <v>14</v>
      </c>
      <c r="F69" s="2">
        <f>'Unit Prices'!F67</f>
        <v>490</v>
      </c>
      <c r="J69" s="16">
        <f>$F69</f>
        <v>490</v>
      </c>
    </row>
    <row r="70" spans="3:14" x14ac:dyDescent="0.25">
      <c r="C70">
        <v>142</v>
      </c>
      <c r="D70" t="s">
        <v>78</v>
      </c>
      <c r="E70" t="s">
        <v>21</v>
      </c>
      <c r="F70" s="2">
        <f>'Unit Prices'!F12</f>
        <v>30</v>
      </c>
      <c r="G70" t="s">
        <v>79</v>
      </c>
      <c r="H70" s="10">
        <f>$F$70*((10*10*10)/27)*0.9</f>
        <v>1000</v>
      </c>
      <c r="I70" s="3"/>
      <c r="J70" s="16">
        <f>$F$70*((10*10*10)/27)*0.9</f>
        <v>1000</v>
      </c>
    </row>
    <row r="71" spans="3:14" ht="15.75" thickBot="1" x14ac:dyDescent="0.3">
      <c r="C71">
        <v>144</v>
      </c>
      <c r="D71" t="s">
        <v>80</v>
      </c>
      <c r="E71" t="s">
        <v>21</v>
      </c>
      <c r="F71" s="2">
        <f>'Unit Prices'!F13</f>
        <v>150</v>
      </c>
      <c r="G71" t="s">
        <v>81</v>
      </c>
      <c r="H71" s="20">
        <f>$F$71*((10*10*10)/27)*0.1</f>
        <v>555.55555555555554</v>
      </c>
      <c r="I71" s="4"/>
      <c r="J71" s="21">
        <f>$F$71*((10*10*10)/27)*0.1</f>
        <v>555.55555555555554</v>
      </c>
      <c r="K71" s="17"/>
      <c r="L71" s="17"/>
    </row>
    <row r="72" spans="3:14" x14ac:dyDescent="0.25">
      <c r="H72" s="12">
        <f>SUM(H66:H71)</f>
        <v>8505.5555555555547</v>
      </c>
      <c r="I72" s="15"/>
      <c r="J72" s="19">
        <f>SUM(J65:J71)</f>
        <v>13595.555555555555</v>
      </c>
      <c r="L72" s="12">
        <f>($H72+$J72)/2</f>
        <v>11050.555555555555</v>
      </c>
    </row>
    <row r="73" spans="3:14" x14ac:dyDescent="0.25">
      <c r="H73" t="s">
        <v>82</v>
      </c>
    </row>
    <row r="75" spans="3:14" ht="15.75" thickBot="1" x14ac:dyDescent="0.3">
      <c r="C75" s="17"/>
      <c r="D75" s="17"/>
      <c r="E75" s="17"/>
      <c r="F75" s="17"/>
      <c r="G75" s="18" t="s">
        <v>83</v>
      </c>
      <c r="H75" s="17"/>
      <c r="I75" s="17"/>
      <c r="J75" s="17"/>
      <c r="K75" s="17"/>
      <c r="L75" s="17"/>
      <c r="M75" s="17"/>
      <c r="N75" s="17"/>
    </row>
    <row r="76" spans="3:14" x14ac:dyDescent="0.25">
      <c r="H76" t="s">
        <v>7</v>
      </c>
    </row>
    <row r="77" spans="3:14" x14ac:dyDescent="0.25">
      <c r="H77" t="s">
        <v>84</v>
      </c>
      <c r="J77" s="40" t="s">
        <v>85</v>
      </c>
      <c r="K77" s="40"/>
      <c r="L77" t="s">
        <v>86</v>
      </c>
      <c r="N77" t="s">
        <v>63</v>
      </c>
    </row>
    <row r="78" spans="3:14" x14ac:dyDescent="0.25">
      <c r="C78">
        <v>269.06</v>
      </c>
      <c r="D78" t="s">
        <v>87</v>
      </c>
      <c r="E78" t="s">
        <v>60</v>
      </c>
      <c r="F78" s="2">
        <f>'Unit Prices'!$F$28</f>
        <v>70</v>
      </c>
      <c r="H78" s="2">
        <f>$F78</f>
        <v>70</v>
      </c>
      <c r="J78" s="3">
        <f>$F$84*(3*3/27)*0.9</f>
        <v>9</v>
      </c>
      <c r="L78" s="3">
        <f>$F$85*(3*3/27)*0.1</f>
        <v>5</v>
      </c>
      <c r="N78" s="12">
        <f>H78+J78+L78</f>
        <v>84</v>
      </c>
    </row>
    <row r="79" spans="3:14" x14ac:dyDescent="0.25">
      <c r="C79">
        <v>241.12</v>
      </c>
      <c r="D79" t="s">
        <v>88</v>
      </c>
      <c r="E79" t="s">
        <v>60</v>
      </c>
      <c r="F79" s="2">
        <f>'Unit Prices'!F21</f>
        <v>90</v>
      </c>
      <c r="H79" s="2">
        <f>$F79</f>
        <v>90</v>
      </c>
      <c r="J79" s="3">
        <f>$F$84*(4*4/27)*0.9</f>
        <v>16</v>
      </c>
      <c r="L79" s="3">
        <f>$F$85*(4*4/27)*0.1</f>
        <v>8.8888888888888893</v>
      </c>
      <c r="N79" s="12">
        <f t="shared" ref="N79:N82" si="3">H79+J79+L79</f>
        <v>114.88888888888889</v>
      </c>
    </row>
    <row r="80" spans="3:14" x14ac:dyDescent="0.25">
      <c r="C80">
        <v>241.18</v>
      </c>
      <c r="D80" t="s">
        <v>89</v>
      </c>
      <c r="E80" t="s">
        <v>60</v>
      </c>
      <c r="F80" s="2">
        <f>'Unit Prices'!F22</f>
        <v>110</v>
      </c>
      <c r="H80" s="2">
        <f>$F80</f>
        <v>110</v>
      </c>
      <c r="J80" s="3">
        <f>$F$84*(4.5*4.5/27)*0.9</f>
        <v>20.25</v>
      </c>
      <c r="L80" s="3">
        <f>$F$85*(4.5*4.5/27)*0.1</f>
        <v>11.25</v>
      </c>
      <c r="N80" s="12">
        <f t="shared" si="3"/>
        <v>141.5</v>
      </c>
    </row>
    <row r="81" spans="3:14" x14ac:dyDescent="0.25">
      <c r="C81">
        <v>241.24</v>
      </c>
      <c r="D81" t="s">
        <v>90</v>
      </c>
      <c r="E81" t="s">
        <v>60</v>
      </c>
      <c r="F81" s="2">
        <f>'Unit Prices'!F23</f>
        <v>160</v>
      </c>
      <c r="H81" s="2">
        <f>$F81</f>
        <v>160</v>
      </c>
      <c r="J81" s="3">
        <f>$F$84*(5*5/27)*0.9</f>
        <v>25</v>
      </c>
      <c r="L81" s="3">
        <f>$F$85*(5*5/27)*0.1</f>
        <v>13.888888888888889</v>
      </c>
      <c r="N81" s="12">
        <f t="shared" si="3"/>
        <v>198.88888888888889</v>
      </c>
    </row>
    <row r="82" spans="3:14" x14ac:dyDescent="0.25">
      <c r="C82">
        <v>241.36</v>
      </c>
      <c r="D82" t="s">
        <v>91</v>
      </c>
      <c r="E82" t="s">
        <v>60</v>
      </c>
      <c r="F82" s="2">
        <f>'Unit Prices'!F24</f>
        <v>250</v>
      </c>
      <c r="H82" s="2">
        <f>$F82</f>
        <v>250</v>
      </c>
      <c r="J82" s="3">
        <f>$F$84*(6*6/27)*0.9</f>
        <v>36</v>
      </c>
      <c r="L82" s="3">
        <f>$F$85*(6*6/27)*0.1</f>
        <v>20</v>
      </c>
      <c r="N82" s="12">
        <f t="shared" si="3"/>
        <v>306</v>
      </c>
    </row>
    <row r="84" spans="3:14" x14ac:dyDescent="0.25">
      <c r="C84">
        <v>142</v>
      </c>
      <c r="D84" t="s">
        <v>78</v>
      </c>
      <c r="E84" t="s">
        <v>21</v>
      </c>
      <c r="F84" s="2">
        <f>'Unit Prices'!F12</f>
        <v>30</v>
      </c>
      <c r="G84" t="s">
        <v>79</v>
      </c>
      <c r="H84" t="s">
        <v>92</v>
      </c>
    </row>
    <row r="85" spans="3:14" x14ac:dyDescent="0.25">
      <c r="C85">
        <v>144</v>
      </c>
      <c r="D85" t="s">
        <v>80</v>
      </c>
      <c r="E85" t="s">
        <v>21</v>
      </c>
      <c r="F85" s="2">
        <f>'Unit Prices'!F13</f>
        <v>150</v>
      </c>
      <c r="G85" t="s">
        <v>81</v>
      </c>
    </row>
    <row r="88" spans="3:14" ht="15.75" thickBot="1" x14ac:dyDescent="0.3">
      <c r="C88" s="17"/>
      <c r="D88" s="17"/>
      <c r="E88" s="17"/>
      <c r="F88" s="17"/>
      <c r="G88" s="18" t="s">
        <v>93</v>
      </c>
      <c r="H88" s="17"/>
      <c r="I88" s="17"/>
      <c r="J88" s="17"/>
      <c r="K88" s="17"/>
      <c r="L88" s="17"/>
      <c r="M88" s="17"/>
      <c r="N88" s="17"/>
    </row>
    <row r="89" spans="3:14" x14ac:dyDescent="0.25">
      <c r="H89" t="s">
        <v>7</v>
      </c>
    </row>
    <row r="90" spans="3:14" x14ac:dyDescent="0.25">
      <c r="H90" t="s">
        <v>94</v>
      </c>
      <c r="J90" t="s">
        <v>85</v>
      </c>
      <c r="L90" t="s">
        <v>86</v>
      </c>
      <c r="N90" t="s">
        <v>63</v>
      </c>
    </row>
    <row r="91" spans="3:14" x14ac:dyDescent="0.25">
      <c r="C91">
        <v>302.06</v>
      </c>
      <c r="D91" t="s">
        <v>95</v>
      </c>
      <c r="E91" t="s">
        <v>60</v>
      </c>
      <c r="F91" s="2">
        <f>'Unit Prices'!F29</f>
        <v>160</v>
      </c>
      <c r="H91" s="2">
        <f>$F91</f>
        <v>160</v>
      </c>
      <c r="J91" s="3">
        <f>$F$95*(4*5.5/27)*0.9</f>
        <v>22</v>
      </c>
      <c r="L91" s="3">
        <f>$F$96*(4*5.5/27)*0.1</f>
        <v>12.222222222222221</v>
      </c>
      <c r="N91" s="12">
        <f t="shared" ref="N91:N93" si="4">H91+J91+L91</f>
        <v>194.22222222222223</v>
      </c>
    </row>
    <row r="92" spans="3:14" x14ac:dyDescent="0.25">
      <c r="C92">
        <v>302.08</v>
      </c>
      <c r="D92" t="s">
        <v>96</v>
      </c>
      <c r="E92" t="s">
        <v>60</v>
      </c>
      <c r="F92" s="2">
        <f>'Unit Prices'!F30</f>
        <v>160</v>
      </c>
      <c r="H92" s="2">
        <f>$F92</f>
        <v>160</v>
      </c>
      <c r="J92" s="3">
        <f>$F$95*(4*6/27)*0.9</f>
        <v>24</v>
      </c>
      <c r="L92" s="3">
        <f>$F$96*(4*6/27)*0.1</f>
        <v>13.333333333333332</v>
      </c>
      <c r="N92" s="12">
        <f t="shared" si="4"/>
        <v>197.33333333333334</v>
      </c>
    </row>
    <row r="93" spans="3:14" x14ac:dyDescent="0.25">
      <c r="C93">
        <v>302.12</v>
      </c>
      <c r="D93" t="s">
        <v>97</v>
      </c>
      <c r="E93" t="s">
        <v>60</v>
      </c>
      <c r="F93" s="2">
        <f>'Unit Prices'!F31</f>
        <v>150</v>
      </c>
      <c r="H93" s="2">
        <f>$F93</f>
        <v>150</v>
      </c>
      <c r="J93" s="3">
        <f>$F$95*(4*6/27)*0.9</f>
        <v>24</v>
      </c>
      <c r="L93" s="3">
        <f>$F$96*(4*6/27)*0.1</f>
        <v>13.333333333333332</v>
      </c>
      <c r="N93" s="12">
        <f t="shared" si="4"/>
        <v>187.33333333333334</v>
      </c>
    </row>
    <row r="95" spans="3:14" x14ac:dyDescent="0.25">
      <c r="C95">
        <v>142</v>
      </c>
      <c r="D95" t="s">
        <v>78</v>
      </c>
      <c r="E95" t="s">
        <v>21</v>
      </c>
      <c r="F95" s="2">
        <f>'Unit Prices'!F12</f>
        <v>30</v>
      </c>
      <c r="G95" t="s">
        <v>79</v>
      </c>
      <c r="H95" t="s">
        <v>98</v>
      </c>
    </row>
    <row r="96" spans="3:14" x14ac:dyDescent="0.25">
      <c r="C96">
        <v>144</v>
      </c>
      <c r="D96" t="s">
        <v>80</v>
      </c>
      <c r="E96" t="s">
        <v>21</v>
      </c>
      <c r="F96" s="2">
        <f>'Unit Prices'!F13</f>
        <v>150</v>
      </c>
      <c r="G96" t="s">
        <v>81</v>
      </c>
    </row>
    <row r="99" spans="3:14" ht="15.75" thickBot="1" x14ac:dyDescent="0.3">
      <c r="C99" s="17"/>
      <c r="D99" s="17"/>
      <c r="E99" s="17"/>
      <c r="F99" s="17"/>
      <c r="G99" s="18" t="s">
        <v>99</v>
      </c>
      <c r="H99" s="17"/>
      <c r="I99" s="17"/>
      <c r="J99" s="17"/>
      <c r="K99" s="17"/>
      <c r="L99" s="17"/>
      <c r="M99" s="17"/>
      <c r="N99" s="17"/>
    </row>
    <row r="100" spans="3:14" x14ac:dyDescent="0.25">
      <c r="H100" t="s">
        <v>100</v>
      </c>
    </row>
    <row r="101" spans="3:14" x14ac:dyDescent="0.25">
      <c r="H101" t="s">
        <v>101</v>
      </c>
      <c r="J101" t="s">
        <v>85</v>
      </c>
      <c r="L101" t="s">
        <v>86</v>
      </c>
      <c r="N101" t="s">
        <v>63</v>
      </c>
    </row>
    <row r="102" spans="3:14" x14ac:dyDescent="0.25">
      <c r="C102">
        <v>376</v>
      </c>
      <c r="D102" t="s">
        <v>102</v>
      </c>
      <c r="E102" t="s">
        <v>14</v>
      </c>
      <c r="F102" s="2">
        <f>'Unit Prices'!$F$38</f>
        <v>5800</v>
      </c>
      <c r="H102" s="2">
        <f>$F102</f>
        <v>5800</v>
      </c>
      <c r="J102">
        <v>0</v>
      </c>
      <c r="L102">
        <v>0</v>
      </c>
      <c r="N102" s="10">
        <f t="shared" ref="N102:N105" si="5">H102+J102+L102</f>
        <v>5800</v>
      </c>
    </row>
    <row r="103" spans="3:14" x14ac:dyDescent="0.25">
      <c r="C103">
        <v>302.06</v>
      </c>
      <c r="D103" t="s">
        <v>103</v>
      </c>
      <c r="E103" t="s">
        <v>60</v>
      </c>
      <c r="F103" s="2">
        <f>'Unit Prices'!$F$29</f>
        <v>160</v>
      </c>
      <c r="H103">
        <f>$F103*25</f>
        <v>4000</v>
      </c>
      <c r="J103">
        <f>$F$107*(5*6/27)*0.9*25</f>
        <v>750.00000000000011</v>
      </c>
      <c r="L103">
        <f>$F$108*(5*6/27)*0.1*25</f>
        <v>416.66666666666669</v>
      </c>
      <c r="N103" s="10">
        <f t="shared" si="5"/>
        <v>5166.666666666667</v>
      </c>
    </row>
    <row r="104" spans="3:14" x14ac:dyDescent="0.25">
      <c r="C104">
        <v>309</v>
      </c>
      <c r="D104" t="s">
        <v>104</v>
      </c>
      <c r="E104" t="s">
        <v>105</v>
      </c>
      <c r="F104" s="2">
        <f>'Unit Prices'!$F$32</f>
        <v>7.8</v>
      </c>
      <c r="H104">
        <f>$F104*170</f>
        <v>1326</v>
      </c>
      <c r="J104">
        <v>0</v>
      </c>
      <c r="L104">
        <v>0</v>
      </c>
      <c r="N104" s="10">
        <f t="shared" si="5"/>
        <v>1326</v>
      </c>
    </row>
    <row r="105" spans="3:14" ht="15.75" thickBot="1" x14ac:dyDescent="0.3">
      <c r="C105">
        <v>350.06</v>
      </c>
      <c r="D105" t="s">
        <v>106</v>
      </c>
      <c r="E105" t="s">
        <v>14</v>
      </c>
      <c r="F105" s="2">
        <f>'Unit Prices'!$F$34</f>
        <v>2000</v>
      </c>
      <c r="H105" s="22">
        <f>$F105</f>
        <v>2000</v>
      </c>
      <c r="I105" s="17"/>
      <c r="J105" s="17">
        <v>0</v>
      </c>
      <c r="K105" s="17"/>
      <c r="L105" s="17">
        <v>0</v>
      </c>
      <c r="M105" s="17"/>
      <c r="N105" s="20">
        <f t="shared" si="5"/>
        <v>2000</v>
      </c>
    </row>
    <row r="106" spans="3:14" x14ac:dyDescent="0.25">
      <c r="H106" s="11" t="s">
        <v>107</v>
      </c>
      <c r="I106" s="11"/>
      <c r="J106" s="11"/>
      <c r="K106" s="11"/>
      <c r="L106" s="11"/>
      <c r="M106" s="11"/>
      <c r="N106" s="12">
        <f>SUM(N102:N105)</f>
        <v>14292.666666666668</v>
      </c>
    </row>
    <row r="107" spans="3:14" x14ac:dyDescent="0.25">
      <c r="C107">
        <v>142</v>
      </c>
      <c r="D107" t="s">
        <v>78</v>
      </c>
      <c r="E107" t="s">
        <v>21</v>
      </c>
      <c r="F107" s="2">
        <f>'Unit Prices'!F12</f>
        <v>30</v>
      </c>
      <c r="G107" t="s">
        <v>79</v>
      </c>
    </row>
    <row r="108" spans="3:14" x14ac:dyDescent="0.25">
      <c r="C108">
        <v>144</v>
      </c>
      <c r="D108" t="s">
        <v>80</v>
      </c>
      <c r="E108" t="s">
        <v>21</v>
      </c>
      <c r="F108" s="2">
        <f>'Unit Prices'!F13</f>
        <v>150</v>
      </c>
      <c r="G108" t="s">
        <v>81</v>
      </c>
      <c r="H108" t="s">
        <v>108</v>
      </c>
    </row>
    <row r="109" spans="3:14" x14ac:dyDescent="0.25">
      <c r="H109" t="s">
        <v>109</v>
      </c>
    </row>
    <row r="111" spans="3:14" ht="15.75" thickBot="1" x14ac:dyDescent="0.3">
      <c r="C111" s="17"/>
      <c r="D111" s="17"/>
      <c r="E111" s="17"/>
      <c r="F111" s="17"/>
      <c r="G111" s="18" t="s">
        <v>110</v>
      </c>
      <c r="H111" s="17"/>
      <c r="I111" s="17"/>
      <c r="J111" s="17"/>
      <c r="K111" s="17"/>
      <c r="L111" s="17"/>
      <c r="M111" s="17"/>
      <c r="N111" s="17"/>
    </row>
    <row r="112" spans="3:14" x14ac:dyDescent="0.25">
      <c r="K112" t="s">
        <v>111</v>
      </c>
    </row>
    <row r="113" spans="3:14" x14ac:dyDescent="0.25">
      <c r="C113">
        <v>350.12</v>
      </c>
      <c r="D113" t="s">
        <v>112</v>
      </c>
      <c r="E113" t="s">
        <v>14</v>
      </c>
      <c r="F113" s="2">
        <f>'Unit Prices'!$F$36</f>
        <v>3900</v>
      </c>
      <c r="K113" s="19">
        <f>$F$113</f>
        <v>3900</v>
      </c>
    </row>
    <row r="116" spans="3:14" ht="15.75" thickBot="1" x14ac:dyDescent="0.3">
      <c r="C116" s="17"/>
      <c r="D116" s="17"/>
      <c r="E116" s="17"/>
      <c r="F116" s="17"/>
      <c r="G116" s="18" t="s">
        <v>113</v>
      </c>
      <c r="H116" s="17"/>
      <c r="I116" s="17"/>
      <c r="J116" s="17"/>
      <c r="K116" s="17"/>
      <c r="L116" s="17"/>
      <c r="M116" s="17"/>
      <c r="N116" s="17"/>
    </row>
    <row r="117" spans="3:14" x14ac:dyDescent="0.25">
      <c r="H117" t="s">
        <v>111</v>
      </c>
    </row>
    <row r="118" spans="3:14" x14ac:dyDescent="0.25">
      <c r="H118" t="s">
        <v>101</v>
      </c>
      <c r="J118" t="s">
        <v>114</v>
      </c>
      <c r="L118" t="s">
        <v>115</v>
      </c>
      <c r="N118" t="s">
        <v>63</v>
      </c>
    </row>
    <row r="119" spans="3:14" x14ac:dyDescent="0.25">
      <c r="C119">
        <v>363.1</v>
      </c>
      <c r="D119" t="s">
        <v>116</v>
      </c>
      <c r="E119" t="s">
        <v>14</v>
      </c>
      <c r="F119" s="2">
        <f>'Unit Prices'!$F$37</f>
        <v>545</v>
      </c>
      <c r="H119" s="2">
        <f>$F119</f>
        <v>545</v>
      </c>
      <c r="J119">
        <v>0</v>
      </c>
      <c r="L119">
        <v>0</v>
      </c>
      <c r="N119" s="10">
        <f t="shared" ref="N119:N122" si="6">H119+J119+L119</f>
        <v>545</v>
      </c>
    </row>
    <row r="120" spans="3:14" x14ac:dyDescent="0.25">
      <c r="C120">
        <v>336.1</v>
      </c>
      <c r="D120" t="s">
        <v>117</v>
      </c>
      <c r="E120" t="s">
        <v>60</v>
      </c>
      <c r="F120" s="2">
        <f>'Unit Prices'!$F$33</f>
        <v>105</v>
      </c>
      <c r="H120">
        <f>$F120*25</f>
        <v>2625</v>
      </c>
      <c r="J120" s="3">
        <f>$F$124*(4*5/27)*0.9*25</f>
        <v>500</v>
      </c>
      <c r="L120" s="3">
        <f>$F$125*(4*5/27)*0.1*25</f>
        <v>277.77777777777777</v>
      </c>
      <c r="N120" s="10">
        <f t="shared" si="6"/>
        <v>3402.7777777777778</v>
      </c>
    </row>
    <row r="121" spans="3:14" x14ac:dyDescent="0.25">
      <c r="C121">
        <v>384</v>
      </c>
      <c r="D121" t="s">
        <v>118</v>
      </c>
      <c r="E121" t="s">
        <v>14</v>
      </c>
      <c r="F121" s="2">
        <f>'Unit Prices'!$F$40</f>
        <v>430</v>
      </c>
      <c r="H121" s="2">
        <f>$F121</f>
        <v>430</v>
      </c>
      <c r="J121">
        <v>0</v>
      </c>
      <c r="L121">
        <v>0</v>
      </c>
      <c r="N121" s="10">
        <f t="shared" si="6"/>
        <v>430</v>
      </c>
    </row>
    <row r="122" spans="3:14" ht="15.75" thickBot="1" x14ac:dyDescent="0.3">
      <c r="C122">
        <v>381.01</v>
      </c>
      <c r="D122" t="s">
        <v>119</v>
      </c>
      <c r="E122" t="s">
        <v>14</v>
      </c>
      <c r="F122" s="2">
        <f>'Unit Prices'!$F$39</f>
        <v>300</v>
      </c>
      <c r="H122" s="22">
        <f>$F122</f>
        <v>300</v>
      </c>
      <c r="I122" s="17"/>
      <c r="J122" s="17">
        <v>0</v>
      </c>
      <c r="K122" s="17"/>
      <c r="L122" s="17">
        <v>0</v>
      </c>
      <c r="M122" s="17"/>
      <c r="N122" s="20">
        <f t="shared" si="6"/>
        <v>300</v>
      </c>
    </row>
    <row r="123" spans="3:14" x14ac:dyDescent="0.25">
      <c r="H123" s="11" t="s">
        <v>120</v>
      </c>
      <c r="I123" s="11"/>
      <c r="J123" s="11"/>
      <c r="K123" s="11"/>
      <c r="L123" s="11"/>
      <c r="M123" s="11"/>
      <c r="N123" s="12">
        <f>SUM(N119:N122)</f>
        <v>4677.7777777777774</v>
      </c>
    </row>
    <row r="124" spans="3:14" x14ac:dyDescent="0.25">
      <c r="C124">
        <v>142</v>
      </c>
      <c r="D124" t="s">
        <v>78</v>
      </c>
      <c r="E124" t="s">
        <v>21</v>
      </c>
      <c r="F124" s="2">
        <f>'Unit Prices'!F12</f>
        <v>30</v>
      </c>
      <c r="G124" t="s">
        <v>79</v>
      </c>
    </row>
    <row r="125" spans="3:14" x14ac:dyDescent="0.25">
      <c r="C125">
        <v>144</v>
      </c>
      <c r="D125" t="s">
        <v>80</v>
      </c>
      <c r="E125" t="s">
        <v>21</v>
      </c>
      <c r="F125" s="2">
        <f>'Unit Prices'!F13</f>
        <v>150</v>
      </c>
      <c r="G125" t="s">
        <v>81</v>
      </c>
      <c r="H125" t="s">
        <v>121</v>
      </c>
    </row>
    <row r="126" spans="3:14" x14ac:dyDescent="0.25">
      <c r="H126" t="s">
        <v>122</v>
      </c>
    </row>
    <row r="128" spans="3:14" ht="15.75" thickBot="1" x14ac:dyDescent="0.3">
      <c r="C128" s="17"/>
      <c r="D128" s="17"/>
      <c r="E128" s="17"/>
      <c r="F128" s="17"/>
      <c r="G128" s="18" t="s">
        <v>123</v>
      </c>
      <c r="H128" s="17"/>
      <c r="I128" s="17"/>
      <c r="J128" s="17"/>
      <c r="K128" s="17"/>
      <c r="L128" s="17"/>
      <c r="M128" s="17"/>
      <c r="N128" s="17"/>
    </row>
    <row r="129" spans="3:14" x14ac:dyDescent="0.25">
      <c r="H129" t="s">
        <v>124</v>
      </c>
    </row>
    <row r="130" spans="3:14" x14ac:dyDescent="0.25">
      <c r="H130" t="s">
        <v>125</v>
      </c>
      <c r="J130" t="s">
        <v>126</v>
      </c>
      <c r="L130" t="s">
        <v>127</v>
      </c>
      <c r="N130" t="s">
        <v>63</v>
      </c>
    </row>
    <row r="131" spans="3:14" x14ac:dyDescent="0.25">
      <c r="C131">
        <v>702</v>
      </c>
      <c r="D131" t="s">
        <v>128</v>
      </c>
      <c r="E131" t="s">
        <v>46</v>
      </c>
      <c r="F131" s="2">
        <f>'Unit Prices'!$F$52</f>
        <v>190</v>
      </c>
      <c r="H131" s="3">
        <f>$F134*0.030704*(5*8/12)</f>
        <v>4.8614666666666668</v>
      </c>
      <c r="J131" s="3">
        <f>($F135/9)*5</f>
        <v>2.7777777777777777</v>
      </c>
      <c r="L131" s="3">
        <f>$F$131*(5*0.056*2.5/9)</f>
        <v>14.777777777777779</v>
      </c>
      <c r="N131" s="12">
        <f t="shared" ref="N131:N132" si="7">H131+J131+L131</f>
        <v>22.417022222222222</v>
      </c>
    </row>
    <row r="132" spans="3:14" x14ac:dyDescent="0.25">
      <c r="C132">
        <v>701</v>
      </c>
      <c r="D132" t="s">
        <v>129</v>
      </c>
      <c r="E132" t="s">
        <v>35</v>
      </c>
      <c r="F132" s="2">
        <f>'Unit Prices'!$F$51</f>
        <v>55</v>
      </c>
      <c r="H132" s="3">
        <f>$F134*0.030704*(5*8/12)</f>
        <v>4.8614666666666668</v>
      </c>
      <c r="J132" s="3">
        <f>($F135/9)*5</f>
        <v>2.7777777777777777</v>
      </c>
      <c r="L132" s="3">
        <f>($F$132/9)*5</f>
        <v>30.555555555555554</v>
      </c>
      <c r="N132" s="12">
        <f t="shared" si="7"/>
        <v>38.194800000000001</v>
      </c>
    </row>
    <row r="134" spans="3:14" x14ac:dyDescent="0.25">
      <c r="C134">
        <v>151.01</v>
      </c>
      <c r="D134" t="s">
        <v>33</v>
      </c>
      <c r="E134" t="s">
        <v>21</v>
      </c>
      <c r="F134" s="2">
        <f>'Unit Prices'!F14</f>
        <v>47.5</v>
      </c>
    </row>
    <row r="135" spans="3:14" x14ac:dyDescent="0.25">
      <c r="C135">
        <v>170</v>
      </c>
      <c r="D135" t="s">
        <v>34</v>
      </c>
      <c r="E135" t="s">
        <v>35</v>
      </c>
      <c r="F135" s="2">
        <f>'Unit Prices'!F15</f>
        <v>5</v>
      </c>
    </row>
    <row r="138" spans="3:14" ht="15.75" thickBot="1" x14ac:dyDescent="0.3">
      <c r="C138" s="17"/>
      <c r="D138" s="17"/>
      <c r="E138" s="17"/>
      <c r="F138" s="17"/>
      <c r="G138" s="18" t="s">
        <v>130</v>
      </c>
      <c r="H138" s="17"/>
      <c r="I138" s="17"/>
      <c r="J138" s="17"/>
      <c r="K138" s="17"/>
      <c r="L138" s="17"/>
      <c r="M138" s="17"/>
      <c r="N138" s="17"/>
    </row>
    <row r="139" spans="3:14" x14ac:dyDescent="0.25">
      <c r="J139" t="s">
        <v>131</v>
      </c>
    </row>
    <row r="140" spans="3:14" x14ac:dyDescent="0.25">
      <c r="G140" t="s">
        <v>132</v>
      </c>
      <c r="J140" t="s">
        <v>133</v>
      </c>
      <c r="L140" t="s">
        <v>134</v>
      </c>
      <c r="N140" t="s">
        <v>135</v>
      </c>
    </row>
    <row r="141" spans="3:14" x14ac:dyDescent="0.25">
      <c r="C141">
        <v>751</v>
      </c>
      <c r="D141" t="s">
        <v>136</v>
      </c>
      <c r="E141" t="s">
        <v>21</v>
      </c>
      <c r="F141" s="2">
        <f>'Unit Prices'!F54</f>
        <v>50</v>
      </c>
      <c r="G141" s="3">
        <f>$F141*0.5/3</f>
        <v>8.3333333333333339</v>
      </c>
      <c r="J141" s="3">
        <f>($G141)</f>
        <v>8.3333333333333339</v>
      </c>
      <c r="L141" s="2">
        <f>($G142)</f>
        <v>1.8</v>
      </c>
      <c r="N141" s="12">
        <f t="shared" ref="N141" si="8">H141+J141+L141</f>
        <v>10.133333333333335</v>
      </c>
    </row>
    <row r="142" spans="3:14" x14ac:dyDescent="0.25">
      <c r="C142">
        <v>765</v>
      </c>
      <c r="D142" t="s">
        <v>137</v>
      </c>
      <c r="E142" t="s">
        <v>35</v>
      </c>
      <c r="F142" s="2">
        <f>'Unit Prices'!$F$57</f>
        <v>1.8</v>
      </c>
      <c r="G142" s="2">
        <f>'Unit Prices'!$F$57</f>
        <v>1.8</v>
      </c>
    </row>
    <row r="144" spans="3:14" x14ac:dyDescent="0.25">
      <c r="G144" t="s">
        <v>138</v>
      </c>
    </row>
    <row r="147" spans="3:14" ht="15.75" thickBot="1" x14ac:dyDescent="0.3">
      <c r="C147" s="17"/>
      <c r="D147" s="17"/>
      <c r="E147" s="17"/>
      <c r="F147" s="17"/>
      <c r="G147" s="18" t="s">
        <v>139</v>
      </c>
      <c r="H147" s="17"/>
      <c r="I147" s="17"/>
      <c r="J147" s="17"/>
      <c r="K147" s="17"/>
      <c r="L147" s="17"/>
      <c r="M147" s="17"/>
      <c r="N147" s="17"/>
    </row>
    <row r="148" spans="3:14" x14ac:dyDescent="0.25">
      <c r="J148" t="s">
        <v>111</v>
      </c>
    </row>
    <row r="149" spans="3:14" x14ac:dyDescent="0.25">
      <c r="C149">
        <v>776.54300000000001</v>
      </c>
      <c r="D149" t="s">
        <v>140</v>
      </c>
      <c r="E149" t="s">
        <v>14</v>
      </c>
      <c r="F149" s="2">
        <f>'Unit Prices'!$F$59</f>
        <v>800</v>
      </c>
      <c r="J149" s="19">
        <f>$F149</f>
        <v>800</v>
      </c>
    </row>
    <row r="152" spans="3:14" ht="15.75" thickBot="1" x14ac:dyDescent="0.3">
      <c r="C152" s="17"/>
      <c r="D152" s="17"/>
      <c r="E152" s="17"/>
      <c r="F152" s="17"/>
      <c r="G152" s="18" t="s">
        <v>141</v>
      </c>
      <c r="H152" s="17"/>
      <c r="I152" s="17"/>
      <c r="J152" s="17"/>
      <c r="K152" s="17"/>
      <c r="L152" s="17"/>
      <c r="M152" s="17"/>
      <c r="N152" s="17"/>
    </row>
    <row r="153" spans="3:14" x14ac:dyDescent="0.25">
      <c r="J153" t="s">
        <v>111</v>
      </c>
    </row>
    <row r="154" spans="3:14" x14ac:dyDescent="0.25">
      <c r="C154">
        <v>812.1</v>
      </c>
      <c r="D154" t="s">
        <v>142</v>
      </c>
      <c r="E154" t="s">
        <v>14</v>
      </c>
      <c r="F154" s="2">
        <f>'Unit Prices'!$F$60</f>
        <v>2500</v>
      </c>
      <c r="J154" s="11">
        <f>$F$156</f>
        <v>6800</v>
      </c>
    </row>
    <row r="155" spans="3:14" x14ac:dyDescent="0.25">
      <c r="C155">
        <v>821.12</v>
      </c>
      <c r="D155" t="s">
        <v>143</v>
      </c>
      <c r="E155" t="s">
        <v>14</v>
      </c>
      <c r="F155" s="2">
        <f>'Unit Prices'!$F$62</f>
        <v>4300</v>
      </c>
    </row>
    <row r="156" spans="3:14" x14ac:dyDescent="0.25">
      <c r="F156">
        <f>SUM(F154:F155)</f>
        <v>6800</v>
      </c>
    </row>
    <row r="159" spans="3:14" ht="15.75" thickBot="1" x14ac:dyDescent="0.3">
      <c r="C159" s="17"/>
      <c r="D159" s="17"/>
      <c r="E159" s="17"/>
      <c r="F159" s="17"/>
      <c r="G159" s="18" t="s">
        <v>144</v>
      </c>
      <c r="H159" s="17"/>
      <c r="I159" s="17"/>
      <c r="J159" s="17"/>
      <c r="K159" s="17"/>
      <c r="L159" s="17"/>
      <c r="M159" s="17"/>
      <c r="N159" s="17"/>
    </row>
    <row r="160" spans="3:14" x14ac:dyDescent="0.25">
      <c r="H160" t="s">
        <v>7</v>
      </c>
    </row>
    <row r="161" spans="3:14" x14ac:dyDescent="0.25">
      <c r="H161" t="s">
        <v>145</v>
      </c>
      <c r="J161" t="s">
        <v>85</v>
      </c>
      <c r="L161" t="s">
        <v>86</v>
      </c>
      <c r="N161" t="s">
        <v>63</v>
      </c>
    </row>
    <row r="162" spans="3:14" x14ac:dyDescent="0.25">
      <c r="C162">
        <v>142</v>
      </c>
      <c r="D162" t="s">
        <v>78</v>
      </c>
      <c r="E162" t="s">
        <v>21</v>
      </c>
      <c r="F162" s="2">
        <f>'Unit Prices'!F12</f>
        <v>30</v>
      </c>
      <c r="G162" t="s">
        <v>79</v>
      </c>
      <c r="H162">
        <v>0</v>
      </c>
      <c r="J162" s="3">
        <f>$F$162*(2*2.5/27)*0.9</f>
        <v>5</v>
      </c>
      <c r="L162" s="3">
        <f>$F$163*(2*2.5/27)*0.1</f>
        <v>2.7777777777777777</v>
      </c>
      <c r="N162" s="12">
        <f t="shared" ref="N162" si="9">H162+J162+L162</f>
        <v>7.7777777777777777</v>
      </c>
    </row>
    <row r="163" spans="3:14" x14ac:dyDescent="0.25">
      <c r="C163">
        <v>144</v>
      </c>
      <c r="D163" t="s">
        <v>80</v>
      </c>
      <c r="E163" t="s">
        <v>21</v>
      </c>
      <c r="F163" s="2">
        <f>'Unit Prices'!F13</f>
        <v>150</v>
      </c>
      <c r="G163" t="s">
        <v>81</v>
      </c>
    </row>
    <row r="165" spans="3:14" x14ac:dyDescent="0.25">
      <c r="H165" t="s">
        <v>146</v>
      </c>
    </row>
    <row r="168" spans="3:14" ht="15.75" thickBot="1" x14ac:dyDescent="0.3">
      <c r="C168" s="17"/>
      <c r="D168" s="17"/>
      <c r="E168" s="17"/>
      <c r="F168" s="17"/>
      <c r="G168" s="18" t="s">
        <v>147</v>
      </c>
      <c r="H168" s="17"/>
      <c r="I168" s="17"/>
      <c r="J168" s="17"/>
      <c r="K168" s="17"/>
      <c r="L168" s="17"/>
      <c r="M168" s="17"/>
      <c r="N168" s="17"/>
    </row>
    <row r="169" spans="3:14" x14ac:dyDescent="0.25">
      <c r="J169" t="s">
        <v>111</v>
      </c>
    </row>
    <row r="170" spans="3:14" x14ac:dyDescent="0.25">
      <c r="C170">
        <v>710.4</v>
      </c>
      <c r="D170" t="s">
        <v>148</v>
      </c>
      <c r="E170" t="s">
        <v>14</v>
      </c>
      <c r="F170" s="2">
        <f>'Unit Prices'!$F$53</f>
        <v>650</v>
      </c>
      <c r="J170" s="19">
        <f>$F170</f>
        <v>650</v>
      </c>
    </row>
    <row r="173" spans="3:14" ht="15.75" thickBot="1" x14ac:dyDescent="0.3">
      <c r="C173" s="17"/>
      <c r="D173" s="17"/>
      <c r="E173" s="17"/>
      <c r="F173" s="17"/>
      <c r="G173" s="18" t="s">
        <v>149</v>
      </c>
      <c r="H173" s="17"/>
      <c r="I173" s="17"/>
      <c r="J173" s="17"/>
      <c r="K173" s="17"/>
      <c r="L173" s="17"/>
      <c r="M173" s="17"/>
      <c r="N173" s="17"/>
    </row>
    <row r="174" spans="3:14" x14ac:dyDescent="0.25">
      <c r="J174" t="s">
        <v>111</v>
      </c>
    </row>
    <row r="175" spans="3:14" x14ac:dyDescent="0.25">
      <c r="C175">
        <v>874</v>
      </c>
      <c r="D175" t="s">
        <v>150</v>
      </c>
      <c r="E175" t="s">
        <v>14</v>
      </c>
      <c r="F175" s="2">
        <f>'Unit Prices'!F63</f>
        <v>100</v>
      </c>
      <c r="J175" s="12">
        <f>$F177</f>
        <v>727.5</v>
      </c>
    </row>
    <row r="176" spans="3:14" x14ac:dyDescent="0.25">
      <c r="C176">
        <v>877.4</v>
      </c>
      <c r="D176" t="s">
        <v>151</v>
      </c>
      <c r="E176" t="s">
        <v>14</v>
      </c>
      <c r="F176" s="2">
        <f>'Unit Prices'!F64</f>
        <v>627.5</v>
      </c>
    </row>
    <row r="177" spans="3:14" x14ac:dyDescent="0.25">
      <c r="F177" s="2">
        <f>SUM(F175:F176)</f>
        <v>727.5</v>
      </c>
    </row>
    <row r="179" spans="3:14" ht="15.75" thickBot="1" x14ac:dyDescent="0.3">
      <c r="C179" s="17"/>
      <c r="D179" s="17"/>
      <c r="E179" s="17"/>
      <c r="F179" s="17"/>
      <c r="G179" s="18" t="s">
        <v>152</v>
      </c>
      <c r="H179" s="17"/>
      <c r="I179" s="17"/>
      <c r="J179" s="17"/>
      <c r="K179" s="17"/>
      <c r="L179" s="17"/>
      <c r="M179" s="17"/>
      <c r="N179" s="17"/>
    </row>
    <row r="180" spans="3:14" x14ac:dyDescent="0.25">
      <c r="J180" t="s">
        <v>153</v>
      </c>
    </row>
    <row r="181" spans="3:14" x14ac:dyDescent="0.25">
      <c r="J181" t="s">
        <v>154</v>
      </c>
    </row>
    <row r="182" spans="3:14" x14ac:dyDescent="0.25">
      <c r="C182">
        <v>697</v>
      </c>
      <c r="D182" t="s">
        <v>155</v>
      </c>
      <c r="E182" t="s">
        <v>60</v>
      </c>
      <c r="F182" s="2">
        <f>'Unit Prices'!$F$50</f>
        <v>10</v>
      </c>
      <c r="J182" s="16">
        <f>$F182</f>
        <v>10</v>
      </c>
    </row>
    <row r="184" spans="3:14" x14ac:dyDescent="0.25">
      <c r="J184" t="s">
        <v>156</v>
      </c>
    </row>
    <row r="185" spans="3:14" x14ac:dyDescent="0.25">
      <c r="H185" t="s">
        <v>157</v>
      </c>
      <c r="J185" t="s">
        <v>154</v>
      </c>
    </row>
    <row r="186" spans="3:14" x14ac:dyDescent="0.25">
      <c r="C186">
        <v>767.8</v>
      </c>
      <c r="D186" t="s">
        <v>158</v>
      </c>
      <c r="E186" t="s">
        <v>14</v>
      </c>
      <c r="F186" s="2">
        <f>'Unit Prices'!$F$58</f>
        <v>10</v>
      </c>
      <c r="H186" s="3">
        <f>$F$186/3</f>
        <v>3.3333333333333335</v>
      </c>
      <c r="J186" s="10">
        <f>$H$186</f>
        <v>3.3333333333333335</v>
      </c>
    </row>
    <row r="187" spans="3:14" x14ac:dyDescent="0.25">
      <c r="G187" t="s">
        <v>159</v>
      </c>
    </row>
    <row r="188" spans="3:14" x14ac:dyDescent="0.25">
      <c r="J188" t="s">
        <v>160</v>
      </c>
    </row>
    <row r="189" spans="3:14" x14ac:dyDescent="0.25">
      <c r="H189" t="s">
        <v>161</v>
      </c>
      <c r="J189" t="s">
        <v>111</v>
      </c>
    </row>
    <row r="190" spans="3:14" x14ac:dyDescent="0.25">
      <c r="C190">
        <v>983.2</v>
      </c>
      <c r="D190" t="s">
        <v>162</v>
      </c>
      <c r="E190" t="s">
        <v>21</v>
      </c>
      <c r="F190" s="2">
        <f>'Unit Prices'!$F$66</f>
        <v>90</v>
      </c>
      <c r="H190">
        <f>$F$190*(20*3*3)/27</f>
        <v>600</v>
      </c>
      <c r="J190">
        <f>$H$190</f>
        <v>600</v>
      </c>
    </row>
    <row r="191" spans="3:14" x14ac:dyDescent="0.25">
      <c r="G191" t="s">
        <v>163</v>
      </c>
    </row>
    <row r="192" spans="3:14" x14ac:dyDescent="0.25">
      <c r="G192" t="s">
        <v>164</v>
      </c>
    </row>
    <row r="193" spans="3:14" ht="15.75" thickBot="1" x14ac:dyDescent="0.3">
      <c r="C193" s="17"/>
      <c r="D193" s="17"/>
      <c r="E193" s="17"/>
      <c r="F193" s="17"/>
      <c r="G193" s="18" t="s">
        <v>165</v>
      </c>
      <c r="H193" s="17"/>
      <c r="I193" s="17"/>
      <c r="J193" s="17"/>
      <c r="K193" s="17"/>
      <c r="L193" s="17"/>
      <c r="M193" s="17"/>
      <c r="N193" s="17"/>
    </row>
    <row r="194" spans="3:14" x14ac:dyDescent="0.25">
      <c r="J194" t="s">
        <v>166</v>
      </c>
    </row>
    <row r="195" spans="3:14" x14ac:dyDescent="0.25">
      <c r="J195" t="s">
        <v>167</v>
      </c>
    </row>
    <row r="196" spans="3:14" x14ac:dyDescent="0.25">
      <c r="C196">
        <v>904</v>
      </c>
      <c r="D196" t="s">
        <v>168</v>
      </c>
      <c r="E196" t="s">
        <v>21</v>
      </c>
      <c r="F196" s="2">
        <f>'Unit Prices'!$F$65</f>
        <v>1375</v>
      </c>
      <c r="J196" s="10">
        <f>$F196*8*7*2/27</f>
        <v>5703.7037037037035</v>
      </c>
    </row>
    <row r="197" spans="3:14" x14ac:dyDescent="0.25">
      <c r="G197" t="s">
        <v>169</v>
      </c>
    </row>
    <row r="199" spans="3:14" x14ac:dyDescent="0.25">
      <c r="J199" t="s">
        <v>170</v>
      </c>
    </row>
    <row r="200" spans="3:14" x14ac:dyDescent="0.25">
      <c r="H200" t="s">
        <v>157</v>
      </c>
      <c r="J200" t="s">
        <v>154</v>
      </c>
    </row>
    <row r="201" spans="3:14" x14ac:dyDescent="0.25">
      <c r="C201">
        <v>241.48</v>
      </c>
      <c r="D201" t="s">
        <v>171</v>
      </c>
      <c r="E201" t="s">
        <v>60</v>
      </c>
      <c r="F201" s="2">
        <f>'Unit Prices'!$F$25</f>
        <v>375</v>
      </c>
      <c r="H201" s="2">
        <f>$F$201</f>
        <v>375</v>
      </c>
      <c r="J201" s="16">
        <f>$H$204</f>
        <v>474.55555555555554</v>
      </c>
    </row>
    <row r="202" spans="3:14" x14ac:dyDescent="0.25">
      <c r="C202">
        <v>142</v>
      </c>
      <c r="D202" t="s">
        <v>78</v>
      </c>
      <c r="E202" t="s">
        <v>21</v>
      </c>
      <c r="F202" s="2">
        <f>'Unit Prices'!F12</f>
        <v>30</v>
      </c>
      <c r="G202" t="s">
        <v>79</v>
      </c>
      <c r="H202" s="2">
        <f>$F$202*(8*8*1/27)*0.9</f>
        <v>64</v>
      </c>
    </row>
    <row r="203" spans="3:14" x14ac:dyDescent="0.25">
      <c r="C203">
        <v>144</v>
      </c>
      <c r="D203" t="s">
        <v>80</v>
      </c>
      <c r="E203" t="s">
        <v>21</v>
      </c>
      <c r="F203" s="2">
        <f>'Unit Prices'!F13</f>
        <v>150</v>
      </c>
      <c r="G203" t="s">
        <v>81</v>
      </c>
      <c r="H203" s="2">
        <f>$F$203*(8*8*1/27)*0.1</f>
        <v>35.555555555555557</v>
      </c>
    </row>
    <row r="204" spans="3:14" x14ac:dyDescent="0.25">
      <c r="H204" s="2">
        <f>SUM(H201:H203)</f>
        <v>474.55555555555554</v>
      </c>
    </row>
    <row r="205" spans="3:14" x14ac:dyDescent="0.25">
      <c r="G205" t="s">
        <v>172</v>
      </c>
    </row>
    <row r="207" spans="3:14" x14ac:dyDescent="0.25">
      <c r="J207" t="s">
        <v>173</v>
      </c>
    </row>
    <row r="208" spans="3:14" x14ac:dyDescent="0.25">
      <c r="H208" t="s">
        <v>157</v>
      </c>
      <c r="J208" t="s">
        <v>154</v>
      </c>
    </row>
    <row r="209" spans="3:10" x14ac:dyDescent="0.25">
      <c r="C209">
        <v>602.1</v>
      </c>
      <c r="D209" t="s">
        <v>174</v>
      </c>
      <c r="E209" t="s">
        <v>14</v>
      </c>
      <c r="F209" s="2">
        <f>'Unit Prices'!F46</f>
        <v>75</v>
      </c>
      <c r="H209" s="3">
        <f>$F$209/6</f>
        <v>12.5</v>
      </c>
      <c r="J209" s="10">
        <f>$H$212</f>
        <v>50.416666666666664</v>
      </c>
    </row>
    <row r="210" spans="3:10" x14ac:dyDescent="0.25">
      <c r="C210">
        <v>603.4</v>
      </c>
      <c r="D210" t="s">
        <v>175</v>
      </c>
      <c r="E210" t="s">
        <v>14</v>
      </c>
      <c r="F210" s="2">
        <f>'Unit Prices'!F47</f>
        <v>11.5</v>
      </c>
      <c r="H210" s="3">
        <f>$F$210/6</f>
        <v>1.9166666666666667</v>
      </c>
    </row>
    <row r="211" spans="3:10" x14ac:dyDescent="0.25">
      <c r="C211">
        <v>621.1</v>
      </c>
      <c r="D211" t="s">
        <v>176</v>
      </c>
      <c r="E211" t="s">
        <v>60</v>
      </c>
      <c r="F211" s="2">
        <f>'Unit Prices'!F48</f>
        <v>36</v>
      </c>
      <c r="H211" s="3">
        <f>$F$211</f>
        <v>36</v>
      </c>
    </row>
    <row r="212" spans="3:10" x14ac:dyDescent="0.25">
      <c r="H212" s="3">
        <f>SUM(H209:H211)</f>
        <v>50.416666666666664</v>
      </c>
    </row>
    <row r="213" spans="3:10" x14ac:dyDescent="0.25">
      <c r="G213" t="s">
        <v>177</v>
      </c>
    </row>
    <row r="214" spans="3:10" x14ac:dyDescent="0.25">
      <c r="G214" t="s">
        <v>164</v>
      </c>
    </row>
    <row r="215" spans="3:10" x14ac:dyDescent="0.25">
      <c r="J215" t="s">
        <v>178</v>
      </c>
    </row>
    <row r="216" spans="3:10" x14ac:dyDescent="0.25">
      <c r="J216" t="s">
        <v>179</v>
      </c>
    </row>
    <row r="217" spans="3:10" x14ac:dyDescent="0.25">
      <c r="C217">
        <v>258</v>
      </c>
      <c r="D217" t="s">
        <v>180</v>
      </c>
      <c r="E217" t="s">
        <v>35</v>
      </c>
      <c r="F217">
        <v>75</v>
      </c>
      <c r="J217">
        <f>$F$217</f>
        <v>75</v>
      </c>
    </row>
    <row r="220" spans="3:10" x14ac:dyDescent="0.25">
      <c r="J220" t="s">
        <v>181</v>
      </c>
    </row>
    <row r="221" spans="3:10" x14ac:dyDescent="0.25">
      <c r="H221" t="s">
        <v>157</v>
      </c>
      <c r="J221" t="s">
        <v>154</v>
      </c>
    </row>
    <row r="222" spans="3:10" x14ac:dyDescent="0.25">
      <c r="C222">
        <v>685</v>
      </c>
      <c r="D222" t="s">
        <v>182</v>
      </c>
      <c r="E222" t="s">
        <v>21</v>
      </c>
      <c r="F222" s="2">
        <f>'Unit Prices'!$F$49</f>
        <v>850</v>
      </c>
      <c r="H222" s="3">
        <f>($F$222/(27))*8*(5.5/2)</f>
        <v>692.59259259259261</v>
      </c>
      <c r="J222" s="10">
        <f>$H$222</f>
        <v>692.59259259259261</v>
      </c>
    </row>
    <row r="223" spans="3:10" x14ac:dyDescent="0.25">
      <c r="G223" t="s">
        <v>183</v>
      </c>
    </row>
    <row r="224" spans="3:10" x14ac:dyDescent="0.25">
      <c r="G224" t="s">
        <v>164</v>
      </c>
    </row>
    <row r="225" spans="3:10" x14ac:dyDescent="0.25">
      <c r="J225" t="s">
        <v>184</v>
      </c>
    </row>
    <row r="226" spans="3:10" x14ac:dyDescent="0.25">
      <c r="J226" t="s">
        <v>111</v>
      </c>
    </row>
    <row r="227" spans="3:10" x14ac:dyDescent="0.25">
      <c r="C227">
        <v>242.12</v>
      </c>
      <c r="D227" t="s">
        <v>185</v>
      </c>
      <c r="E227" t="s">
        <v>14</v>
      </c>
      <c r="F227" s="2">
        <f>'Unit Prices'!$F$26</f>
        <v>1100</v>
      </c>
      <c r="J227" s="16">
        <f>$F$227</f>
        <v>1100</v>
      </c>
    </row>
    <row r="228" spans="3:10" x14ac:dyDescent="0.25">
      <c r="G228" t="s">
        <v>164</v>
      </c>
    </row>
    <row r="229" spans="3:10" x14ac:dyDescent="0.25">
      <c r="I229" t="s">
        <v>186</v>
      </c>
    </row>
    <row r="230" spans="3:10" x14ac:dyDescent="0.25">
      <c r="H230" t="s">
        <v>187</v>
      </c>
      <c r="I230" t="s">
        <v>179</v>
      </c>
    </row>
    <row r="231" spans="3:10" x14ac:dyDescent="0.25">
      <c r="C231">
        <v>120</v>
      </c>
      <c r="D231" t="s">
        <v>20</v>
      </c>
      <c r="E231" t="s">
        <v>21</v>
      </c>
      <c r="F231" s="2">
        <f>'Unit Prices'!F9</f>
        <v>30</v>
      </c>
      <c r="G231">
        <v>0.6</v>
      </c>
      <c r="H231" s="3">
        <f>$F$231*0.6/(5/3)</f>
        <v>10.799999999999999</v>
      </c>
      <c r="I231" s="10">
        <f>$H$234</f>
        <v>24</v>
      </c>
    </row>
    <row r="232" spans="3:10" x14ac:dyDescent="0.25">
      <c r="C232">
        <v>120.1</v>
      </c>
      <c r="D232" t="s">
        <v>22</v>
      </c>
      <c r="E232" t="s">
        <v>21</v>
      </c>
      <c r="F232" s="2">
        <f>'Unit Prices'!F10</f>
        <v>40</v>
      </c>
      <c r="G232">
        <v>0.3</v>
      </c>
      <c r="H232" s="3">
        <f>$F$232*0.3/(5/3)</f>
        <v>7.1999999999999993</v>
      </c>
    </row>
    <row r="233" spans="3:10" x14ac:dyDescent="0.25">
      <c r="C233">
        <v>121</v>
      </c>
      <c r="D233" t="s">
        <v>23</v>
      </c>
      <c r="E233" t="s">
        <v>21</v>
      </c>
      <c r="F233" s="2">
        <f>'Unit Prices'!F11</f>
        <v>100</v>
      </c>
      <c r="G233">
        <v>0.1</v>
      </c>
      <c r="H233" s="3">
        <f>$F$233*0.1/(5/3)</f>
        <v>6</v>
      </c>
      <c r="I233" t="s">
        <v>188</v>
      </c>
    </row>
    <row r="234" spans="3:10" x14ac:dyDescent="0.25">
      <c r="H234" s="3">
        <f>SUM(H231:H233)</f>
        <v>24</v>
      </c>
    </row>
    <row r="236" spans="3:10" x14ac:dyDescent="0.25">
      <c r="J236" t="s">
        <v>189</v>
      </c>
    </row>
    <row r="237" spans="3:10" x14ac:dyDescent="0.25">
      <c r="J237" t="s">
        <v>179</v>
      </c>
    </row>
    <row r="238" spans="3:10" x14ac:dyDescent="0.25">
      <c r="C238">
        <v>755</v>
      </c>
      <c r="D238" t="s">
        <v>190</v>
      </c>
      <c r="E238" t="s">
        <v>35</v>
      </c>
      <c r="F238" s="2">
        <f>'Unit Prices'!$F$56</f>
        <v>102</v>
      </c>
      <c r="J238" s="2">
        <f>$F$238</f>
        <v>102</v>
      </c>
    </row>
    <row r="240" spans="3:10" x14ac:dyDescent="0.25">
      <c r="J240" t="s">
        <v>191</v>
      </c>
    </row>
    <row r="241" spans="4:10" x14ac:dyDescent="0.25">
      <c r="D241" t="s">
        <v>192</v>
      </c>
      <c r="E241" t="s">
        <v>37</v>
      </c>
      <c r="F241" s="2">
        <f>'Unit Prices'!$F$68</f>
        <v>120</v>
      </c>
      <c r="J241" t="s">
        <v>154</v>
      </c>
    </row>
    <row r="242" spans="4:10" x14ac:dyDescent="0.25">
      <c r="J242">
        <f>120*30/500</f>
        <v>7.2</v>
      </c>
    </row>
    <row r="243" spans="4:10" x14ac:dyDescent="0.25">
      <c r="F243" t="s">
        <v>193</v>
      </c>
    </row>
    <row r="245" spans="4:10" x14ac:dyDescent="0.25">
      <c r="J245" t="s">
        <v>194</v>
      </c>
    </row>
    <row r="246" spans="4:10" x14ac:dyDescent="0.25">
      <c r="D246" t="s">
        <v>195</v>
      </c>
      <c r="E246" t="s">
        <v>196</v>
      </c>
      <c r="F246" s="2">
        <f>'Unit Prices'!$F$70</f>
        <v>1300</v>
      </c>
      <c r="J246" t="s">
        <v>197</v>
      </c>
    </row>
    <row r="247" spans="4:10" x14ac:dyDescent="0.25">
      <c r="J247" s="2">
        <f>$F$246</f>
        <v>1300</v>
      </c>
    </row>
    <row r="248" spans="4:10" x14ac:dyDescent="0.25">
      <c r="F248" t="s">
        <v>198</v>
      </c>
    </row>
  </sheetData>
  <sheetProtection algorithmName="SHA-512" hashValue="nXpgeScEZcopbyPUWzYeCNVJJH4PDHQAkWB3hH1Qs4iX3PVw+tk0c/fNlSpocFjUCDfnodU0mgDv2Z3UXPREhg==" saltValue="X8aEjE4XjckrOC7a1/iptw==" spinCount="100000" sheet="1" selectLockedCells="1" selectUnlockedCells="1"/>
  <mergeCells count="1">
    <mergeCell ref="J77:K77"/>
  </mergeCells>
  <pageMargins left="0.7" right="0.7" top="0.75" bottom="0.75" header="0.3" footer="0.3"/>
  <pageSetup paperSize="1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view="pageLayout" topLeftCell="A10" zoomScaleNormal="100" workbookViewId="0">
      <selection activeCell="C1" sqref="C1:E1"/>
    </sheetView>
  </sheetViews>
  <sheetFormatPr defaultRowHeight="15" x14ac:dyDescent="0.25"/>
  <cols>
    <col min="1" max="1" width="42.28515625" bestFit="1" customWidth="1"/>
    <col min="2" max="2" width="13.28515625" bestFit="1" customWidth="1"/>
    <col min="4" max="4" width="13.5703125" bestFit="1" customWidth="1"/>
    <col min="5" max="5" width="13.28515625" customWidth="1"/>
  </cols>
  <sheetData>
    <row r="1" spans="1:5" x14ac:dyDescent="0.25">
      <c r="A1" s="44" t="s">
        <v>221</v>
      </c>
      <c r="B1" s="44"/>
      <c r="C1" s="44" t="s">
        <v>222</v>
      </c>
      <c r="D1" s="44"/>
      <c r="E1" s="44"/>
    </row>
    <row r="2" spans="1:5" x14ac:dyDescent="0.25">
      <c r="A2" s="44" t="s">
        <v>223</v>
      </c>
      <c r="B2" s="44"/>
      <c r="C2" s="45" t="s">
        <v>224</v>
      </c>
      <c r="D2" s="45"/>
      <c r="E2" s="45"/>
    </row>
    <row r="3" spans="1:5" x14ac:dyDescent="0.25">
      <c r="A3" s="44" t="s">
        <v>225</v>
      </c>
      <c r="B3" s="44"/>
      <c r="C3" s="23"/>
      <c r="D3" s="23"/>
      <c r="E3" s="23"/>
    </row>
    <row r="4" spans="1:5" ht="15.75" thickBot="1" x14ac:dyDescent="0.3">
      <c r="A4" s="46" t="s">
        <v>226</v>
      </c>
      <c r="B4" s="47"/>
      <c r="C4" s="29"/>
      <c r="D4" s="29"/>
      <c r="E4" s="29"/>
    </row>
    <row r="5" spans="1:5" ht="15.75" thickBot="1" x14ac:dyDescent="0.3">
      <c r="A5" s="31" t="s">
        <v>227</v>
      </c>
      <c r="B5" s="32" t="s">
        <v>228</v>
      </c>
      <c r="C5" s="32" t="s">
        <v>229</v>
      </c>
      <c r="D5" s="32" t="s">
        <v>230</v>
      </c>
      <c r="E5" s="33" t="s">
        <v>231</v>
      </c>
    </row>
    <row r="6" spans="1:5" x14ac:dyDescent="0.25">
      <c r="A6" s="30" t="s">
        <v>232</v>
      </c>
      <c r="B6" s="30"/>
      <c r="C6" s="30" t="s">
        <v>233</v>
      </c>
      <c r="D6" s="30" t="s">
        <v>234</v>
      </c>
      <c r="E6" s="30" t="s">
        <v>234</v>
      </c>
    </row>
    <row r="7" spans="1:5" x14ac:dyDescent="0.25">
      <c r="A7" s="25" t="s">
        <v>235</v>
      </c>
      <c r="B7" s="35">
        <v>0</v>
      </c>
      <c r="C7" s="24" t="s">
        <v>236</v>
      </c>
      <c r="D7" s="34">
        <f>'Calc Sheet'!$J$12</f>
        <v>39.256198347107436</v>
      </c>
      <c r="E7" s="34">
        <f>B7*D7</f>
        <v>0</v>
      </c>
    </row>
    <row r="8" spans="1:5" x14ac:dyDescent="0.25">
      <c r="A8" s="25" t="s">
        <v>9</v>
      </c>
      <c r="B8" s="35">
        <v>0</v>
      </c>
      <c r="C8" s="24" t="s">
        <v>236</v>
      </c>
      <c r="D8" s="34">
        <f>'Calc Sheet'!$K$12</f>
        <v>49.070247933884303</v>
      </c>
      <c r="E8" s="34">
        <f t="shared" ref="E8:E72" si="0">B8*D8</f>
        <v>0</v>
      </c>
    </row>
    <row r="9" spans="1:5" x14ac:dyDescent="0.25">
      <c r="A9" s="25" t="s">
        <v>10</v>
      </c>
      <c r="B9" s="35">
        <v>0</v>
      </c>
      <c r="C9" s="24" t="s">
        <v>237</v>
      </c>
      <c r="D9" s="34">
        <f>'Calc Sheet'!$L$12</f>
        <v>58.88429752066115</v>
      </c>
      <c r="E9" s="34">
        <f t="shared" si="0"/>
        <v>0</v>
      </c>
    </row>
    <row r="10" spans="1:5" x14ac:dyDescent="0.25">
      <c r="A10" s="24" t="s">
        <v>238</v>
      </c>
      <c r="B10" s="35"/>
      <c r="C10" s="24"/>
      <c r="D10" s="24"/>
      <c r="E10" s="34"/>
    </row>
    <row r="11" spans="1:5" x14ac:dyDescent="0.25">
      <c r="A11" s="25" t="s">
        <v>235</v>
      </c>
      <c r="B11" s="35">
        <v>0</v>
      </c>
      <c r="C11" s="24" t="s">
        <v>236</v>
      </c>
      <c r="D11" s="34">
        <f>'Calc Sheet'!$J$22</f>
        <v>78.821120000000008</v>
      </c>
      <c r="E11" s="34">
        <f t="shared" si="0"/>
        <v>0</v>
      </c>
    </row>
    <row r="12" spans="1:5" x14ac:dyDescent="0.25">
      <c r="A12" s="25" t="s">
        <v>9</v>
      </c>
      <c r="B12" s="35">
        <v>0</v>
      </c>
      <c r="C12" s="24" t="s">
        <v>236</v>
      </c>
      <c r="D12" s="34">
        <f>'Calc Sheet'!$K$22</f>
        <v>98.526399999999995</v>
      </c>
      <c r="E12" s="34">
        <f t="shared" si="0"/>
        <v>0</v>
      </c>
    </row>
    <row r="13" spans="1:5" x14ac:dyDescent="0.25">
      <c r="A13" s="25" t="s">
        <v>239</v>
      </c>
      <c r="B13" s="35">
        <v>0</v>
      </c>
      <c r="C13" s="24" t="s">
        <v>236</v>
      </c>
      <c r="D13" s="34">
        <f>'Calc Sheet'!$L$22</f>
        <v>118.23167999999998</v>
      </c>
      <c r="E13" s="34">
        <f t="shared" si="0"/>
        <v>0</v>
      </c>
    </row>
    <row r="14" spans="1:5" x14ac:dyDescent="0.25">
      <c r="A14" s="24" t="s">
        <v>240</v>
      </c>
      <c r="B14" s="35"/>
      <c r="C14" s="24"/>
      <c r="D14" s="34"/>
      <c r="E14" s="34"/>
    </row>
    <row r="15" spans="1:5" x14ac:dyDescent="0.25">
      <c r="A15" s="25" t="s">
        <v>241</v>
      </c>
      <c r="B15" s="35">
        <v>0</v>
      </c>
      <c r="C15" s="24" t="s">
        <v>236</v>
      </c>
      <c r="D15" s="34">
        <f>'Calc Sheet'!$J$30</f>
        <v>41.669199999999996</v>
      </c>
      <c r="E15" s="34">
        <f t="shared" si="0"/>
        <v>0</v>
      </c>
    </row>
    <row r="16" spans="1:5" x14ac:dyDescent="0.25">
      <c r="A16" s="25" t="s">
        <v>242</v>
      </c>
      <c r="B16" s="35">
        <v>0</v>
      </c>
      <c r="C16" s="24" t="s">
        <v>236</v>
      </c>
      <c r="D16" s="34">
        <f>'Calc Sheet'!$K$30</f>
        <v>46.299111111111102</v>
      </c>
      <c r="E16" s="34">
        <f t="shared" si="0"/>
        <v>0</v>
      </c>
    </row>
    <row r="17" spans="1:5" x14ac:dyDescent="0.25">
      <c r="A17" s="25" t="s">
        <v>243</v>
      </c>
      <c r="B17" s="35">
        <v>0</v>
      </c>
      <c r="C17" s="24" t="s">
        <v>236</v>
      </c>
      <c r="D17" s="34">
        <f>'Calc Sheet'!$L$30</f>
        <v>55.558933333333336</v>
      </c>
      <c r="E17" s="34">
        <f t="shared" si="0"/>
        <v>0</v>
      </c>
    </row>
    <row r="18" spans="1:5" x14ac:dyDescent="0.25">
      <c r="A18" s="25" t="s">
        <v>244</v>
      </c>
      <c r="B18" s="35">
        <v>0</v>
      </c>
      <c r="C18" s="24" t="s">
        <v>236</v>
      </c>
      <c r="D18" s="34">
        <f>'Calc Sheet'!$M$30</f>
        <v>69.448666666666668</v>
      </c>
      <c r="E18" s="34">
        <f t="shared" si="0"/>
        <v>0</v>
      </c>
    </row>
    <row r="19" spans="1:5" x14ac:dyDescent="0.25">
      <c r="A19" s="25" t="s">
        <v>245</v>
      </c>
      <c r="B19" s="35">
        <v>0</v>
      </c>
      <c r="C19" s="24" t="s">
        <v>236</v>
      </c>
      <c r="D19" s="34">
        <f>'Calc Sheet'!$N$30</f>
        <v>83.338399999999993</v>
      </c>
      <c r="E19" s="34">
        <f t="shared" si="0"/>
        <v>0</v>
      </c>
    </row>
    <row r="20" spans="1:5" x14ac:dyDescent="0.25">
      <c r="A20" s="25" t="s">
        <v>246</v>
      </c>
      <c r="B20" s="35">
        <v>0</v>
      </c>
      <c r="C20" s="24" t="s">
        <v>236</v>
      </c>
      <c r="D20" s="34">
        <f>'Calc Sheet'!$I$32</f>
        <v>0.9</v>
      </c>
      <c r="E20" s="34">
        <f t="shared" si="0"/>
        <v>0</v>
      </c>
    </row>
    <row r="21" spans="1:5" x14ac:dyDescent="0.25">
      <c r="A21" s="24" t="s">
        <v>247</v>
      </c>
      <c r="B21" s="35"/>
      <c r="C21" s="24" t="s">
        <v>233</v>
      </c>
      <c r="D21" s="34" t="s">
        <v>248</v>
      </c>
      <c r="E21" s="34"/>
    </row>
    <row r="22" spans="1:5" x14ac:dyDescent="0.25">
      <c r="A22" s="25" t="s">
        <v>249</v>
      </c>
      <c r="B22" s="35">
        <v>0</v>
      </c>
      <c r="C22" s="24" t="s">
        <v>236</v>
      </c>
      <c r="D22" s="34">
        <f>'Calc Sheet'!$I$38</f>
        <v>42</v>
      </c>
      <c r="E22" s="34">
        <f t="shared" si="0"/>
        <v>0</v>
      </c>
    </row>
    <row r="23" spans="1:5" x14ac:dyDescent="0.25">
      <c r="A23" s="25" t="s">
        <v>250</v>
      </c>
      <c r="B23" s="35">
        <v>0</v>
      </c>
      <c r="C23" s="24" t="s">
        <v>236</v>
      </c>
      <c r="D23" s="34">
        <f>'Calc Sheet'!$J$38</f>
        <v>46.666666666666671</v>
      </c>
      <c r="E23" s="34">
        <f t="shared" si="0"/>
        <v>0</v>
      </c>
    </row>
    <row r="24" spans="1:5" x14ac:dyDescent="0.25">
      <c r="A24" s="25" t="s">
        <v>251</v>
      </c>
      <c r="B24" s="35">
        <v>0</v>
      </c>
      <c r="C24" s="24" t="s">
        <v>236</v>
      </c>
      <c r="D24" s="34">
        <f>'Calc Sheet'!$K$38</f>
        <v>56</v>
      </c>
      <c r="E24" s="34">
        <f t="shared" si="0"/>
        <v>0</v>
      </c>
    </row>
    <row r="25" spans="1:5" x14ac:dyDescent="0.25">
      <c r="A25" s="25" t="s">
        <v>252</v>
      </c>
      <c r="B25" s="35">
        <v>0</v>
      </c>
      <c r="C25" s="24" t="s">
        <v>236</v>
      </c>
      <c r="D25" s="34">
        <f>'Calc Sheet'!$L$38</f>
        <v>70</v>
      </c>
      <c r="E25" s="34">
        <f t="shared" si="0"/>
        <v>0</v>
      </c>
    </row>
    <row r="26" spans="1:5" x14ac:dyDescent="0.25">
      <c r="A26" s="25" t="s">
        <v>253</v>
      </c>
      <c r="B26" s="35">
        <v>0</v>
      </c>
      <c r="C26" s="24" t="s">
        <v>236</v>
      </c>
      <c r="D26" s="34">
        <f>'Calc Sheet'!$M$38</f>
        <v>98</v>
      </c>
      <c r="E26" s="34">
        <f t="shared" si="0"/>
        <v>0</v>
      </c>
    </row>
    <row r="27" spans="1:5" x14ac:dyDescent="0.25">
      <c r="A27" s="25" t="s">
        <v>254</v>
      </c>
      <c r="B27" s="35">
        <v>0</v>
      </c>
      <c r="C27" s="24" t="s">
        <v>236</v>
      </c>
      <c r="D27" s="34">
        <f>'Calc Sheet'!$N$38</f>
        <v>117.6</v>
      </c>
      <c r="E27" s="34">
        <f t="shared" si="0"/>
        <v>0</v>
      </c>
    </row>
    <row r="28" spans="1:5" x14ac:dyDescent="0.25">
      <c r="A28" s="27" t="s">
        <v>255</v>
      </c>
      <c r="B28" s="35"/>
      <c r="C28" s="24"/>
      <c r="D28" s="34"/>
      <c r="E28" s="24"/>
    </row>
    <row r="29" spans="1:5" x14ac:dyDescent="0.25">
      <c r="A29" s="25" t="s">
        <v>256</v>
      </c>
      <c r="B29" s="35">
        <v>0</v>
      </c>
      <c r="C29" s="24" t="s">
        <v>236</v>
      </c>
      <c r="D29" s="34">
        <f>'Calc Sheet'!$I$46</f>
        <v>25.200000000000003</v>
      </c>
      <c r="E29" s="34">
        <f t="shared" si="0"/>
        <v>0</v>
      </c>
    </row>
    <row r="30" spans="1:5" x14ac:dyDescent="0.25">
      <c r="A30" s="25" t="s">
        <v>257</v>
      </c>
      <c r="B30" s="35">
        <v>0</v>
      </c>
      <c r="C30" s="24" t="s">
        <v>236</v>
      </c>
      <c r="D30" s="34">
        <f>'Calc Sheet'!$J$46</f>
        <v>28.000000000000004</v>
      </c>
      <c r="E30" s="34">
        <f t="shared" si="0"/>
        <v>0</v>
      </c>
    </row>
    <row r="31" spans="1:5" x14ac:dyDescent="0.25">
      <c r="A31" s="25" t="s">
        <v>258</v>
      </c>
      <c r="B31" s="35">
        <v>0</v>
      </c>
      <c r="C31" s="24" t="s">
        <v>236</v>
      </c>
      <c r="D31" s="34">
        <f>'Calc Sheet'!$K$46</f>
        <v>33.6</v>
      </c>
      <c r="E31" s="34">
        <f t="shared" si="0"/>
        <v>0</v>
      </c>
    </row>
    <row r="32" spans="1:5" x14ac:dyDescent="0.25">
      <c r="A32" s="25" t="s">
        <v>259</v>
      </c>
      <c r="B32" s="35">
        <v>0</v>
      </c>
      <c r="C32" s="24" t="s">
        <v>236</v>
      </c>
      <c r="D32" s="34">
        <f>'Calc Sheet'!$L$46</f>
        <v>42.000000000000007</v>
      </c>
      <c r="E32" s="34">
        <f t="shared" si="0"/>
        <v>0</v>
      </c>
    </row>
    <row r="33" spans="1:5" x14ac:dyDescent="0.25">
      <c r="A33" s="25" t="s">
        <v>260</v>
      </c>
      <c r="B33" s="35">
        <v>0</v>
      </c>
      <c r="C33" s="24" t="s">
        <v>236</v>
      </c>
      <c r="D33" s="34">
        <f>'Calc Sheet'!$M$46</f>
        <v>50.400000000000006</v>
      </c>
      <c r="E33" s="34">
        <f t="shared" si="0"/>
        <v>0</v>
      </c>
    </row>
    <row r="34" spans="1:5" x14ac:dyDescent="0.25">
      <c r="A34" s="25" t="s">
        <v>261</v>
      </c>
      <c r="B34" s="35">
        <v>0</v>
      </c>
      <c r="C34" s="24" t="s">
        <v>236</v>
      </c>
      <c r="D34" s="34">
        <f>D20</f>
        <v>0.9</v>
      </c>
      <c r="E34" s="34">
        <f t="shared" si="0"/>
        <v>0</v>
      </c>
    </row>
    <row r="35" spans="1:5" x14ac:dyDescent="0.25">
      <c r="A35" s="24" t="s">
        <v>262</v>
      </c>
      <c r="B35" s="35"/>
      <c r="C35" s="24"/>
      <c r="D35" s="34"/>
      <c r="E35" s="34"/>
    </row>
    <row r="36" spans="1:5" x14ac:dyDescent="0.25">
      <c r="A36" s="25" t="s">
        <v>263</v>
      </c>
      <c r="B36" s="35">
        <v>0</v>
      </c>
      <c r="C36" s="24" t="s">
        <v>236</v>
      </c>
      <c r="D36" s="34">
        <f>'Calc Sheet'!$H$54</f>
        <v>6</v>
      </c>
      <c r="E36" s="34">
        <f t="shared" si="0"/>
        <v>0</v>
      </c>
    </row>
    <row r="37" spans="1:5" x14ac:dyDescent="0.25">
      <c r="A37" s="25" t="s">
        <v>264</v>
      </c>
      <c r="B37" s="35">
        <v>0</v>
      </c>
      <c r="C37" s="24" t="s">
        <v>236</v>
      </c>
      <c r="D37" s="34">
        <f>'Calc Sheet'!$N$55</f>
        <v>80.462962962962962</v>
      </c>
      <c r="E37" s="34">
        <f t="shared" si="0"/>
        <v>0</v>
      </c>
    </row>
    <row r="38" spans="1:5" x14ac:dyDescent="0.25">
      <c r="A38" s="25" t="s">
        <v>265</v>
      </c>
      <c r="B38" s="35">
        <v>0</v>
      </c>
      <c r="C38" s="24" t="s">
        <v>236</v>
      </c>
      <c r="D38" s="34">
        <f>'Calc Sheet'!$N$56</f>
        <v>85.462962962962962</v>
      </c>
      <c r="E38" s="34">
        <f t="shared" si="0"/>
        <v>0</v>
      </c>
    </row>
    <row r="39" spans="1:5" x14ac:dyDescent="0.25">
      <c r="A39" s="25" t="s">
        <v>266</v>
      </c>
      <c r="B39" s="35">
        <v>0</v>
      </c>
      <c r="C39" s="24" t="s">
        <v>267</v>
      </c>
      <c r="D39" s="34">
        <f>'Calc Sheet'!$N$57</f>
        <v>75.462962962962962</v>
      </c>
      <c r="E39" s="34">
        <f t="shared" si="0"/>
        <v>0</v>
      </c>
    </row>
    <row r="40" spans="1:5" x14ac:dyDescent="0.25">
      <c r="A40" s="24" t="s">
        <v>268</v>
      </c>
      <c r="B40" s="35">
        <v>0</v>
      </c>
      <c r="C40" s="24" t="s">
        <v>269</v>
      </c>
      <c r="D40" s="34">
        <f>'Calc Sheet'!$L$72</f>
        <v>11050.555555555555</v>
      </c>
      <c r="E40" s="34">
        <f t="shared" si="0"/>
        <v>0</v>
      </c>
    </row>
    <row r="41" spans="1:5" x14ac:dyDescent="0.25">
      <c r="A41" s="24" t="s">
        <v>270</v>
      </c>
      <c r="B41" s="35"/>
      <c r="C41" s="24"/>
      <c r="D41" s="34"/>
      <c r="E41" s="34"/>
    </row>
    <row r="42" spans="1:5" x14ac:dyDescent="0.25">
      <c r="A42" s="25" t="s">
        <v>271</v>
      </c>
      <c r="B42" s="35">
        <v>0</v>
      </c>
      <c r="C42" s="24" t="s">
        <v>236</v>
      </c>
      <c r="D42" s="34">
        <f>'Calc Sheet'!$N$78</f>
        <v>84</v>
      </c>
      <c r="E42" s="34">
        <f t="shared" si="0"/>
        <v>0</v>
      </c>
    </row>
    <row r="43" spans="1:5" x14ac:dyDescent="0.25">
      <c r="A43" s="25" t="s">
        <v>272</v>
      </c>
      <c r="B43" s="35">
        <v>0</v>
      </c>
      <c r="C43" s="24" t="s">
        <v>236</v>
      </c>
      <c r="D43" s="34">
        <f>'Calc Sheet'!$N$79</f>
        <v>114.88888888888889</v>
      </c>
      <c r="E43" s="34">
        <f t="shared" si="0"/>
        <v>0</v>
      </c>
    </row>
    <row r="44" spans="1:5" x14ac:dyDescent="0.25">
      <c r="A44" s="25" t="s">
        <v>273</v>
      </c>
      <c r="B44" s="35">
        <v>0</v>
      </c>
      <c r="C44" s="24" t="s">
        <v>236</v>
      </c>
      <c r="D44" s="34">
        <f>'Calc Sheet'!$N$80</f>
        <v>141.5</v>
      </c>
      <c r="E44" s="34">
        <f t="shared" si="0"/>
        <v>0</v>
      </c>
    </row>
    <row r="45" spans="1:5" x14ac:dyDescent="0.25">
      <c r="A45" s="25" t="s">
        <v>274</v>
      </c>
      <c r="B45" s="35">
        <v>0</v>
      </c>
      <c r="C45" s="24" t="s">
        <v>236</v>
      </c>
      <c r="D45" s="34">
        <f>'Calc Sheet'!$N$81</f>
        <v>198.88888888888889</v>
      </c>
      <c r="E45" s="34">
        <f t="shared" si="0"/>
        <v>0</v>
      </c>
    </row>
    <row r="46" spans="1:5" x14ac:dyDescent="0.25">
      <c r="A46" s="25" t="s">
        <v>275</v>
      </c>
      <c r="B46" s="35">
        <v>0</v>
      </c>
      <c r="C46" s="24" t="s">
        <v>236</v>
      </c>
      <c r="D46" s="34">
        <f>'Calc Sheet'!$N$82</f>
        <v>306</v>
      </c>
      <c r="E46" s="34">
        <f t="shared" si="0"/>
        <v>0</v>
      </c>
    </row>
    <row r="47" spans="1:5" x14ac:dyDescent="0.25">
      <c r="A47" s="25" t="s">
        <v>276</v>
      </c>
      <c r="B47" s="35">
        <v>0</v>
      </c>
      <c r="C47" s="24" t="s">
        <v>277</v>
      </c>
      <c r="D47" s="34">
        <f>'Calc Sheet'!$J$247</f>
        <v>1300</v>
      </c>
      <c r="E47" s="34">
        <f t="shared" si="0"/>
        <v>0</v>
      </c>
    </row>
    <row r="48" spans="1:5" x14ac:dyDescent="0.25">
      <c r="A48" s="24" t="s">
        <v>278</v>
      </c>
      <c r="B48" s="35"/>
      <c r="C48" s="24"/>
      <c r="D48" s="34"/>
      <c r="E48" s="34"/>
    </row>
    <row r="49" spans="1:5" x14ac:dyDescent="0.25">
      <c r="A49" s="25" t="s">
        <v>279</v>
      </c>
      <c r="B49" s="35">
        <v>0</v>
      </c>
      <c r="C49" s="24" t="s">
        <v>236</v>
      </c>
      <c r="D49" s="34">
        <f>'Calc Sheet'!$N$91</f>
        <v>194.22222222222223</v>
      </c>
      <c r="E49" s="34">
        <f t="shared" si="0"/>
        <v>0</v>
      </c>
    </row>
    <row r="50" spans="1:5" x14ac:dyDescent="0.25">
      <c r="A50" s="25" t="s">
        <v>280</v>
      </c>
      <c r="B50" s="35">
        <v>0</v>
      </c>
      <c r="C50" s="24" t="s">
        <v>236</v>
      </c>
      <c r="D50" s="34">
        <f>'Calc Sheet'!$N$92</f>
        <v>197.33333333333334</v>
      </c>
      <c r="E50" s="34">
        <f t="shared" si="0"/>
        <v>0</v>
      </c>
    </row>
    <row r="51" spans="1:5" x14ac:dyDescent="0.25">
      <c r="A51" s="25" t="s">
        <v>281</v>
      </c>
      <c r="B51" s="35">
        <v>0</v>
      </c>
      <c r="C51" s="24" t="s">
        <v>236</v>
      </c>
      <c r="D51" s="34">
        <f>'Calc Sheet'!$N$93</f>
        <v>187.33333333333334</v>
      </c>
      <c r="E51" s="34">
        <f t="shared" si="0"/>
        <v>0</v>
      </c>
    </row>
    <row r="52" spans="1:5" x14ac:dyDescent="0.25">
      <c r="A52" s="24" t="s">
        <v>282</v>
      </c>
      <c r="B52" s="35">
        <v>0</v>
      </c>
      <c r="C52" s="24" t="s">
        <v>269</v>
      </c>
      <c r="D52" s="34">
        <f>'Calc Sheet'!$N$106</f>
        <v>14292.666666666668</v>
      </c>
      <c r="E52" s="34">
        <f t="shared" si="0"/>
        <v>0</v>
      </c>
    </row>
    <row r="53" spans="1:5" x14ac:dyDescent="0.25">
      <c r="A53" s="24" t="s">
        <v>110</v>
      </c>
      <c r="B53" s="35">
        <v>0</v>
      </c>
      <c r="C53" s="24" t="s">
        <v>269</v>
      </c>
      <c r="D53" s="34">
        <f>'Calc Sheet'!$K$113</f>
        <v>3900</v>
      </c>
      <c r="E53" s="34">
        <f t="shared" si="0"/>
        <v>0</v>
      </c>
    </row>
    <row r="54" spans="1:5" x14ac:dyDescent="0.25">
      <c r="A54" s="24" t="s">
        <v>283</v>
      </c>
      <c r="B54" s="35">
        <v>0</v>
      </c>
      <c r="C54" s="24" t="s">
        <v>269</v>
      </c>
      <c r="D54" s="34">
        <f>'Calc Sheet'!$N$123</f>
        <v>4677.7777777777774</v>
      </c>
      <c r="E54" s="34">
        <f t="shared" si="0"/>
        <v>0</v>
      </c>
    </row>
    <row r="55" spans="1:5" x14ac:dyDescent="0.25">
      <c r="A55" s="24" t="s">
        <v>284</v>
      </c>
      <c r="B55" s="35"/>
      <c r="C55" s="24"/>
      <c r="D55" s="34"/>
      <c r="E55" s="34"/>
    </row>
    <row r="56" spans="1:5" x14ac:dyDescent="0.25">
      <c r="A56" s="25" t="s">
        <v>285</v>
      </c>
      <c r="B56" s="35">
        <v>0</v>
      </c>
      <c r="C56" s="24" t="s">
        <v>236</v>
      </c>
      <c r="D56" s="34">
        <f>'Calc Sheet'!$N$131</f>
        <v>22.417022222222222</v>
      </c>
      <c r="E56" s="34">
        <f t="shared" si="0"/>
        <v>0</v>
      </c>
    </row>
    <row r="57" spans="1:5" x14ac:dyDescent="0.25">
      <c r="A57" s="25" t="s">
        <v>286</v>
      </c>
      <c r="B57" s="35">
        <v>0</v>
      </c>
      <c r="C57" s="24" t="s">
        <v>236</v>
      </c>
      <c r="D57" s="34">
        <f>'Calc Sheet'!$N$132</f>
        <v>38.194800000000001</v>
      </c>
      <c r="E57" s="34">
        <f t="shared" si="0"/>
        <v>0</v>
      </c>
    </row>
    <row r="58" spans="1:5" x14ac:dyDescent="0.25">
      <c r="A58" s="24" t="s">
        <v>287</v>
      </c>
      <c r="B58" s="35">
        <v>0</v>
      </c>
      <c r="C58" s="24" t="s">
        <v>288</v>
      </c>
      <c r="D58" s="34">
        <f>'Calc Sheet'!$N$141</f>
        <v>10.133333333333335</v>
      </c>
      <c r="E58" s="34">
        <f t="shared" si="0"/>
        <v>0</v>
      </c>
    </row>
    <row r="59" spans="1:5" x14ac:dyDescent="0.25">
      <c r="A59" s="24" t="s">
        <v>289</v>
      </c>
      <c r="B59" s="35">
        <v>0</v>
      </c>
      <c r="C59" s="24" t="s">
        <v>269</v>
      </c>
      <c r="D59" s="34">
        <f>'Calc Sheet'!$J$149</f>
        <v>800</v>
      </c>
      <c r="E59" s="34">
        <f t="shared" si="0"/>
        <v>0</v>
      </c>
    </row>
    <row r="60" spans="1:5" x14ac:dyDescent="0.25">
      <c r="A60" s="24" t="s">
        <v>290</v>
      </c>
      <c r="B60" s="35">
        <v>0</v>
      </c>
      <c r="C60" s="24" t="s">
        <v>269</v>
      </c>
      <c r="D60" s="34">
        <f>'Calc Sheet'!$J$154</f>
        <v>6800</v>
      </c>
      <c r="E60" s="34">
        <f t="shared" si="0"/>
        <v>0</v>
      </c>
    </row>
    <row r="61" spans="1:5" x14ac:dyDescent="0.25">
      <c r="A61" s="24" t="s">
        <v>291</v>
      </c>
      <c r="B61" s="35">
        <v>0</v>
      </c>
      <c r="C61" s="24" t="s">
        <v>236</v>
      </c>
      <c r="D61" s="34">
        <f>'Calc Sheet'!$N$162</f>
        <v>7.7777777777777777</v>
      </c>
      <c r="E61" s="34">
        <f t="shared" si="0"/>
        <v>0</v>
      </c>
    </row>
    <row r="62" spans="1:5" x14ac:dyDescent="0.25">
      <c r="A62" s="24" t="s">
        <v>313</v>
      </c>
      <c r="B62" s="35">
        <v>0</v>
      </c>
      <c r="C62" s="24" t="s">
        <v>269</v>
      </c>
      <c r="D62" s="34">
        <f>'Calc Sheet'!$J$170</f>
        <v>650</v>
      </c>
      <c r="E62" s="34">
        <f t="shared" si="0"/>
        <v>0</v>
      </c>
    </row>
    <row r="63" spans="1:5" x14ac:dyDescent="0.25">
      <c r="A63" s="24" t="s">
        <v>314</v>
      </c>
      <c r="B63" s="35">
        <v>0</v>
      </c>
      <c r="C63" s="24" t="s">
        <v>269</v>
      </c>
      <c r="D63" s="34">
        <v>100</v>
      </c>
      <c r="E63" s="34">
        <f t="shared" si="0"/>
        <v>0</v>
      </c>
    </row>
    <row r="64" spans="1:5" x14ac:dyDescent="0.25">
      <c r="A64" s="24" t="s">
        <v>292</v>
      </c>
      <c r="B64" s="35">
        <v>0</v>
      </c>
      <c r="C64" s="24" t="s">
        <v>269</v>
      </c>
      <c r="D64" s="34">
        <f>'Calc Sheet'!$J$175</f>
        <v>727.5</v>
      </c>
      <c r="E64" s="34">
        <f t="shared" si="0"/>
        <v>0</v>
      </c>
    </row>
    <row r="65" spans="1:5" x14ac:dyDescent="0.25">
      <c r="A65" s="24" t="s">
        <v>293</v>
      </c>
      <c r="B65" s="35"/>
      <c r="C65" s="24"/>
      <c r="D65" s="34"/>
      <c r="E65" s="34"/>
    </row>
    <row r="66" spans="1:5" x14ac:dyDescent="0.25">
      <c r="A66" s="25" t="s">
        <v>294</v>
      </c>
      <c r="B66" s="35">
        <v>0</v>
      </c>
      <c r="C66" s="24" t="s">
        <v>236</v>
      </c>
      <c r="D66" s="34">
        <f>'Calc Sheet'!$J$182</f>
        <v>10</v>
      </c>
      <c r="E66" s="34">
        <f t="shared" si="0"/>
        <v>0</v>
      </c>
    </row>
    <row r="67" spans="1:5" x14ac:dyDescent="0.25">
      <c r="A67" s="25" t="s">
        <v>295</v>
      </c>
      <c r="B67" s="35">
        <v>0</v>
      </c>
      <c r="C67" s="24" t="s">
        <v>236</v>
      </c>
      <c r="D67" s="34">
        <f>'Calc Sheet'!$J$186</f>
        <v>3.3333333333333335</v>
      </c>
      <c r="E67" s="34">
        <f t="shared" si="0"/>
        <v>0</v>
      </c>
    </row>
    <row r="68" spans="1:5" x14ac:dyDescent="0.25">
      <c r="A68" s="25" t="s">
        <v>296</v>
      </c>
      <c r="B68" s="35">
        <v>0</v>
      </c>
      <c r="C68" s="24" t="s">
        <v>269</v>
      </c>
      <c r="D68" s="34">
        <f>'Calc Sheet'!$J$190</f>
        <v>600</v>
      </c>
      <c r="E68" s="34">
        <f t="shared" si="0"/>
        <v>0</v>
      </c>
    </row>
    <row r="69" spans="1:5" x14ac:dyDescent="0.25">
      <c r="A69" s="24" t="s">
        <v>297</v>
      </c>
      <c r="B69" s="35"/>
      <c r="C69" s="24"/>
      <c r="D69" s="34"/>
      <c r="E69" s="34"/>
    </row>
    <row r="70" spans="1:5" x14ac:dyDescent="0.25">
      <c r="A70" s="25" t="s">
        <v>298</v>
      </c>
      <c r="B70" s="35">
        <v>0</v>
      </c>
      <c r="C70" s="24" t="s">
        <v>269</v>
      </c>
      <c r="D70" s="34">
        <f>'Calc Sheet'!$J$196</f>
        <v>5703.7037037037035</v>
      </c>
      <c r="E70" s="34">
        <f t="shared" si="0"/>
        <v>0</v>
      </c>
    </row>
    <row r="71" spans="1:5" x14ac:dyDescent="0.25">
      <c r="A71" s="25" t="s">
        <v>299</v>
      </c>
      <c r="B71" s="35">
        <v>0</v>
      </c>
      <c r="C71" s="24" t="s">
        <v>236</v>
      </c>
      <c r="D71" s="34">
        <f>'Calc Sheet'!$J$201</f>
        <v>474.55555555555554</v>
      </c>
      <c r="E71" s="34">
        <f t="shared" si="0"/>
        <v>0</v>
      </c>
    </row>
    <row r="72" spans="1:5" x14ac:dyDescent="0.25">
      <c r="A72" s="25" t="s">
        <v>300</v>
      </c>
      <c r="B72" s="35">
        <v>0</v>
      </c>
      <c r="C72" s="24" t="s">
        <v>236</v>
      </c>
      <c r="D72" s="34">
        <f>'Calc Sheet'!$J$209</f>
        <v>50.416666666666664</v>
      </c>
      <c r="E72" s="34">
        <f t="shared" si="0"/>
        <v>0</v>
      </c>
    </row>
    <row r="73" spans="1:5" x14ac:dyDescent="0.25">
      <c r="A73" s="25" t="s">
        <v>301</v>
      </c>
      <c r="B73" s="35">
        <v>0</v>
      </c>
      <c r="C73" s="24" t="s">
        <v>288</v>
      </c>
      <c r="D73" s="34">
        <f>'Calc Sheet'!$J$217</f>
        <v>75</v>
      </c>
      <c r="E73" s="34">
        <f t="shared" ref="E73:E78" si="1">B73*D73</f>
        <v>0</v>
      </c>
    </row>
    <row r="74" spans="1:5" x14ac:dyDescent="0.25">
      <c r="A74" s="25" t="s">
        <v>302</v>
      </c>
      <c r="B74" s="35">
        <v>0</v>
      </c>
      <c r="C74" s="24" t="s">
        <v>236</v>
      </c>
      <c r="D74" s="34">
        <f>'Calc Sheet'!$J$222</f>
        <v>692.59259259259261</v>
      </c>
      <c r="E74" s="34">
        <f t="shared" si="1"/>
        <v>0</v>
      </c>
    </row>
    <row r="75" spans="1:5" x14ac:dyDescent="0.25">
      <c r="A75" s="25" t="s">
        <v>303</v>
      </c>
      <c r="B75" s="35">
        <v>0</v>
      </c>
      <c r="C75" s="24" t="s">
        <v>269</v>
      </c>
      <c r="D75" s="34">
        <f>'Calc Sheet'!$J$227</f>
        <v>1100</v>
      </c>
      <c r="E75" s="34">
        <f t="shared" si="1"/>
        <v>0</v>
      </c>
    </row>
    <row r="76" spans="1:5" x14ac:dyDescent="0.25">
      <c r="A76" s="25" t="s">
        <v>304</v>
      </c>
      <c r="B76" s="35">
        <v>0</v>
      </c>
      <c r="C76" s="24" t="s">
        <v>288</v>
      </c>
      <c r="D76" s="34">
        <f>'Calc Sheet'!$I$231</f>
        <v>24</v>
      </c>
      <c r="E76" s="34">
        <f t="shared" si="1"/>
        <v>0</v>
      </c>
    </row>
    <row r="77" spans="1:5" x14ac:dyDescent="0.25">
      <c r="A77" s="25" t="s">
        <v>305</v>
      </c>
      <c r="B77" s="35">
        <v>0</v>
      </c>
      <c r="C77" s="24" t="s">
        <v>288</v>
      </c>
      <c r="D77" s="34">
        <f>'Calc Sheet'!$J$238</f>
        <v>102</v>
      </c>
      <c r="E77" s="34">
        <f t="shared" si="1"/>
        <v>0</v>
      </c>
    </row>
    <row r="78" spans="1:5" x14ac:dyDescent="0.25">
      <c r="A78" s="25" t="s">
        <v>306</v>
      </c>
      <c r="B78" s="35">
        <v>0</v>
      </c>
      <c r="C78" s="24" t="s">
        <v>236</v>
      </c>
      <c r="D78" s="34">
        <f>'Calc Sheet'!$J$242</f>
        <v>7.2</v>
      </c>
      <c r="E78" s="34">
        <f t="shared" si="1"/>
        <v>0</v>
      </c>
    </row>
    <row r="79" spans="1:5" x14ac:dyDescent="0.25">
      <c r="A79" s="26" t="s">
        <v>307</v>
      </c>
      <c r="B79" s="24"/>
      <c r="C79" s="24"/>
      <c r="D79" s="24"/>
      <c r="E79" s="34">
        <f>SUM(E7:E78)</f>
        <v>0</v>
      </c>
    </row>
    <row r="80" spans="1:5" x14ac:dyDescent="0.25">
      <c r="A80" s="26" t="s">
        <v>308</v>
      </c>
      <c r="B80" s="24"/>
      <c r="C80" s="24"/>
      <c r="D80" s="24"/>
      <c r="E80" s="34">
        <f>E79*0.15</f>
        <v>0</v>
      </c>
    </row>
    <row r="81" spans="1:5" x14ac:dyDescent="0.25">
      <c r="A81" s="26" t="s">
        <v>309</v>
      </c>
      <c r="B81" s="24"/>
      <c r="C81" s="24"/>
      <c r="D81" s="24"/>
      <c r="E81" s="34">
        <f>E79+E80</f>
        <v>0</v>
      </c>
    </row>
    <row r="82" spans="1:5" x14ac:dyDescent="0.25">
      <c r="A82" s="28"/>
      <c r="B82" s="28"/>
      <c r="C82" s="28"/>
      <c r="D82" s="28"/>
      <c r="E82" s="28"/>
    </row>
    <row r="83" spans="1:5" x14ac:dyDescent="0.25">
      <c r="A83" s="26" t="s">
        <v>310</v>
      </c>
      <c r="B83" s="41"/>
      <c r="C83" s="42"/>
      <c r="D83" s="43"/>
      <c r="E83" s="24"/>
    </row>
    <row r="84" spans="1:5" x14ac:dyDescent="0.25">
      <c r="A84" s="26" t="s">
        <v>311</v>
      </c>
      <c r="B84" s="41"/>
      <c r="C84" s="42"/>
      <c r="D84" s="43"/>
      <c r="E84" s="24"/>
    </row>
    <row r="85" spans="1:5" x14ac:dyDescent="0.25">
      <c r="A85" s="26" t="s">
        <v>312</v>
      </c>
      <c r="B85" s="41"/>
      <c r="C85" s="42"/>
      <c r="D85" s="43"/>
      <c r="E85" s="24"/>
    </row>
  </sheetData>
  <sheetProtection algorithmName="SHA-512" hashValue="t+Twi9AffJHCFIs4M4fItZp8UQh1elcFK1DTf1afwTGMPGr14qxsUOygXQUP9rYG8WxeKKOODEZvF0jW8Zav3g==" saltValue="rA6oqyPjYtMIjIOs2gEcFg==" spinCount="100000" sheet="1" objects="1" scenarios="1" selectLockedCells="1"/>
  <mergeCells count="9">
    <mergeCell ref="B83:D83"/>
    <mergeCell ref="B84:D84"/>
    <mergeCell ref="B85:D85"/>
    <mergeCell ref="A1:B1"/>
    <mergeCell ref="C1:E1"/>
    <mergeCell ref="A2:B2"/>
    <mergeCell ref="C2:E2"/>
    <mergeCell ref="A3:B3"/>
    <mergeCell ref="A4:B4"/>
  </mergeCells>
  <pageMargins left="0.45" right="0.45" top="1.15625" bottom="0.75" header="0.3" footer="0.3"/>
  <pageSetup orientation="portrait" horizontalDpi="300" verticalDpi="300" r:id="rId1"/>
  <headerFooter differentFirst="1">
    <oddFooter>&amp;CPage 2 of 2</oddFooter>
    <firstHeader>&amp;C&amp;"Times New Roman,Bold"&amp;12HOLLISTON PLANNING BOARD
2022 CONSTRUCTION COST ESTIMATE (FORM E)</firstHeader>
    <firstFooter>&amp;CPage 1 of 2</first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Unit Prices</vt:lpstr>
      <vt:lpstr>Calc Sheet</vt:lpstr>
      <vt:lpstr>Form 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CMGENG1</dc:creator>
  <cp:lastModifiedBy>Baseimage</cp:lastModifiedBy>
  <cp:lastPrinted>2021-11-23T15:06:05Z</cp:lastPrinted>
  <dcterms:created xsi:type="dcterms:W3CDTF">2021-11-05T11:40:47Z</dcterms:created>
  <dcterms:modified xsi:type="dcterms:W3CDTF">2021-12-13T14:02:41Z</dcterms:modified>
</cp:coreProperties>
</file>